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4200" activeTab="0"/>
  </bookViews>
  <sheets>
    <sheet name="1 нед" sheetId="1" r:id="rId1"/>
    <sheet name="2 нед " sheetId="2" r:id="rId2"/>
    <sheet name="3 нед" sheetId="3" r:id="rId3"/>
    <sheet name="служ" sheetId="4" r:id="rId4"/>
    <sheet name="идент" sheetId="5" r:id="rId5"/>
    <sheet name="схема" sheetId="6" r:id="rId6"/>
    <sheet name="Лист1" sheetId="7" r:id="rId7"/>
  </sheets>
  <definedNames>
    <definedName name="_xlfn.SINGLE" hidden="1">#NAME?</definedName>
    <definedName name="_xlnm.Print_Area" localSheetId="2">'3 нед'!$A$1:$E$114</definedName>
    <definedName name="_xlnm.Print_Area" localSheetId="5">'схема'!$A$1:$R$124</definedName>
  </definedNames>
  <calcPr fullCalcOnLoad="1" refMode="R1C1"/>
</workbook>
</file>

<file path=xl/sharedStrings.xml><?xml version="1.0" encoding="utf-8"?>
<sst xmlns="http://schemas.openxmlformats.org/spreadsheetml/2006/main" count="376" uniqueCount="299">
  <si>
    <t>дни</t>
  </si>
  <si>
    <t>пары</t>
  </si>
  <si>
    <t>пн</t>
  </si>
  <si>
    <t>вт</t>
  </si>
  <si>
    <t>ср</t>
  </si>
  <si>
    <t>чт</t>
  </si>
  <si>
    <t>пт</t>
  </si>
  <si>
    <t>сб</t>
  </si>
  <si>
    <t>вс</t>
  </si>
  <si>
    <t>НЕ УДАЛЯТЬ!</t>
  </si>
  <si>
    <t>НЕ МЕНЯТЬ!</t>
  </si>
  <si>
    <t>ПН-ПТ</t>
  </si>
  <si>
    <t>№ пары</t>
  </si>
  <si>
    <t>время</t>
  </si>
  <si>
    <t>преподаватель</t>
  </si>
  <si>
    <t>Иванов А.П.</t>
  </si>
  <si>
    <t>Плотникова Е.Г.</t>
  </si>
  <si>
    <t>Лебедев В.В.</t>
  </si>
  <si>
    <t>Морозова А. В.</t>
  </si>
  <si>
    <t>Викентьева О. Л.</t>
  </si>
  <si>
    <t>Радионова М. В.</t>
  </si>
  <si>
    <t>Шестакова Л.В.</t>
  </si>
  <si>
    <t>Дерябин А. И.</t>
  </si>
  <si>
    <t>Маслова С. М.</t>
  </si>
  <si>
    <t>Халезова Е. Н.</t>
  </si>
  <si>
    <t>Садикова Т. Б.</t>
  </si>
  <si>
    <t>Шевелева М. С.</t>
  </si>
  <si>
    <t>Костарева Е. В.</t>
  </si>
  <si>
    <t>Шеина М. В.</t>
  </si>
  <si>
    <t>Молодчик М. А.</t>
  </si>
  <si>
    <t>Редькина А. Ю.</t>
  </si>
  <si>
    <t>Зуева Е. Л.</t>
  </si>
  <si>
    <t>Букина Т. В.</t>
  </si>
  <si>
    <t>Чунарева С. Ф.</t>
  </si>
  <si>
    <t>Гордеева Е.С.</t>
  </si>
  <si>
    <t>Ведерников В. В.</t>
  </si>
  <si>
    <t>Корчагина Е.В.</t>
  </si>
  <si>
    <t>Ерахтина О. С.</t>
  </si>
  <si>
    <t>Пахомова Л. М.</t>
  </si>
  <si>
    <t>Лобанов С. В.</t>
  </si>
  <si>
    <t>Лавренчук Е. Н.</t>
  </si>
  <si>
    <t>Власова И. А.</t>
  </si>
  <si>
    <t>Жукова Н. Ю.</t>
  </si>
  <si>
    <t>Емельянов А. М.</t>
  </si>
  <si>
    <t>Окулова Е. Э.</t>
  </si>
  <si>
    <t>Ситник П. Е.</t>
  </si>
  <si>
    <t>Роженцова Е. В.</t>
  </si>
  <si>
    <t>Латыпова Е. Н.</t>
  </si>
  <si>
    <t>Андрианова Т. А.</t>
  </si>
  <si>
    <t>Аленина К. А.</t>
  </si>
  <si>
    <t>Пономарева Т.В.</t>
  </si>
  <si>
    <t>Жуковская С. Л.</t>
  </si>
  <si>
    <t>Орлова И. И.</t>
  </si>
  <si>
    <t>Прасол А. Б.</t>
  </si>
  <si>
    <t>Лебедева Л. Н.</t>
  </si>
  <si>
    <t>Гордеев Ю. М.</t>
  </si>
  <si>
    <t>2 неделя</t>
  </si>
  <si>
    <t>3 неделя</t>
  </si>
  <si>
    <t>Ильина А.А.</t>
  </si>
  <si>
    <t>Малиновская С. И.</t>
  </si>
  <si>
    <t>дата</t>
  </si>
  <si>
    <t>дисциплина</t>
  </si>
  <si>
    <t>группа</t>
  </si>
  <si>
    <t xml:space="preserve"> 9:10-10:30</t>
  </si>
  <si>
    <t>10:40-12:00</t>
  </si>
  <si>
    <t>аудитория</t>
  </si>
  <si>
    <t>начало</t>
  </si>
  <si>
    <t>окончание</t>
  </si>
  <si>
    <t>Тимофеев Д.В.</t>
  </si>
  <si>
    <t>ВС</t>
  </si>
  <si>
    <t>СБ</t>
  </si>
  <si>
    <t>Шишкина Н.Н.</t>
  </si>
  <si>
    <t>Волостнова В.А.</t>
  </si>
  <si>
    <t>Реутских Е.А.</t>
  </si>
  <si>
    <t>Солдатова М.В.</t>
  </si>
  <si>
    <t>Суслова С.В.</t>
  </si>
  <si>
    <t xml:space="preserve">Петрова Е.А. </t>
  </si>
  <si>
    <t>Иванов А. И.</t>
  </si>
  <si>
    <t>Колос И. Р.</t>
  </si>
  <si>
    <t>Исопескуль О. Ю.</t>
  </si>
  <si>
    <t>Шадрина Е. В.</t>
  </si>
  <si>
    <t>15:00-16:20</t>
  </si>
  <si>
    <t>16:30-17:50</t>
  </si>
  <si>
    <t>Белых С.А.</t>
  </si>
  <si>
    <t>8:10-9:30</t>
  </si>
  <si>
    <t>Потапов Д.Б.</t>
  </si>
  <si>
    <t>Евдокимова М.В.</t>
  </si>
  <si>
    <t>Шафранская И.Н.</t>
  </si>
  <si>
    <t>Артемьев Д.Г.</t>
  </si>
  <si>
    <t>Калимуллин Р.Т.</t>
  </si>
  <si>
    <t>Кудлаева А.Н.</t>
  </si>
  <si>
    <t>Третьяков С.В.</t>
  </si>
  <si>
    <t>Груздева Е.Ю.</t>
  </si>
  <si>
    <t>Лядова Л.Н.</t>
  </si>
  <si>
    <t xml:space="preserve">1 неделя </t>
  </si>
  <si>
    <t>Оболонская А. В.</t>
  </si>
  <si>
    <t>Шелунцова М.А.</t>
  </si>
  <si>
    <t>Котомина О.В.</t>
  </si>
  <si>
    <t>17:10-18:30</t>
  </si>
  <si>
    <t>Широких К.И.</t>
  </si>
  <si>
    <t>Севрук А.И.</t>
  </si>
  <si>
    <t>Турбина А.А.</t>
  </si>
  <si>
    <t>Чадов А.Л.</t>
  </si>
  <si>
    <t>Войтенко М.Л.</t>
  </si>
  <si>
    <t>Василенко Ю.В.</t>
  </si>
  <si>
    <t>Ожегов Е.М.</t>
  </si>
  <si>
    <t>Ланин В.В.</t>
  </si>
  <si>
    <t>Мальцев П.А.</t>
  </si>
  <si>
    <t>Иванова М.В.</t>
  </si>
  <si>
    <t>Шелепаева А.Х.</t>
  </si>
  <si>
    <t>Третьякова Е.С.</t>
  </si>
  <si>
    <t>Замятина Е.Б.</t>
  </si>
  <si>
    <t>Абашева А.С.</t>
  </si>
  <si>
    <t>Моисеев П.А.</t>
  </si>
  <si>
    <t>Полосухина М. В.</t>
  </si>
  <si>
    <t>Загороднова Е.П.</t>
  </si>
  <si>
    <t>Плаксин М.А.</t>
  </si>
  <si>
    <t>Долгих А.И.</t>
  </si>
  <si>
    <t>Юдина Т.А.</t>
  </si>
  <si>
    <t>Васильева Е.Е.</t>
  </si>
  <si>
    <t>Корж  П.А.</t>
  </si>
  <si>
    <t>Поносов Д.А.</t>
  </si>
  <si>
    <t>Зернин К.А.</t>
  </si>
  <si>
    <t>Лебедев Вик.Вал.</t>
  </si>
  <si>
    <t>Алова Н.В.</t>
  </si>
  <si>
    <t>Паршаков П.А.</t>
  </si>
  <si>
    <t xml:space="preserve"> 8:10- 9:30</t>
  </si>
  <si>
    <t xml:space="preserve"> 9:40-11:00</t>
  </si>
  <si>
    <t>11:30-12:50</t>
  </si>
  <si>
    <t>12:40-14:00</t>
  </si>
  <si>
    <t>14:10-15:30</t>
  </si>
  <si>
    <t>15:40-17:00</t>
  </si>
  <si>
    <t>Иванова К.В.</t>
  </si>
  <si>
    <t>Мальцев О.В.</t>
  </si>
  <si>
    <t>Саранская Н.В.</t>
  </si>
  <si>
    <t>Чащухин А.В.</t>
  </si>
  <si>
    <t>Мингалев В.В.</t>
  </si>
  <si>
    <t>Ковязина Е.Н.</t>
  </si>
  <si>
    <t>Краснов А.В.</t>
  </si>
  <si>
    <t>Костычева А.В.</t>
  </si>
  <si>
    <t>Фаерберг Е. И.</t>
  </si>
  <si>
    <t>Дерябина Е.С.</t>
  </si>
  <si>
    <t>Васильченко А.И.</t>
  </si>
  <si>
    <t>Брюхина Е.Р.</t>
  </si>
  <si>
    <t>Вахитова Ю.И.</t>
  </si>
  <si>
    <t>Сапрыкин Е.А.</t>
  </si>
  <si>
    <t>Ромашов П.А.</t>
  </si>
  <si>
    <t>Кабацков А.Н.</t>
  </si>
  <si>
    <t>Рылова А.Г.</t>
  </si>
  <si>
    <t>Морозенко В.В.</t>
  </si>
  <si>
    <t>Гордеева О.И.</t>
  </si>
  <si>
    <t>Шаляева И.М.</t>
  </si>
  <si>
    <t>Сухов А.О.</t>
  </si>
  <si>
    <t>Кузнецов Д.Б.</t>
  </si>
  <si>
    <t>Башкирцев Л.В.</t>
  </si>
  <si>
    <t>Кондратьева К.С.</t>
  </si>
  <si>
    <t>Носов Д.В.</t>
  </si>
  <si>
    <t>Советов И.К.</t>
  </si>
  <si>
    <t>Гурьева А.А.</t>
  </si>
  <si>
    <t>Струков А.В.</t>
  </si>
  <si>
    <t>Круч В.С.</t>
  </si>
  <si>
    <t>Лозинская А.М.</t>
  </si>
  <si>
    <t>Лобан О.А.</t>
  </si>
  <si>
    <t>Аржакина Т.Д.</t>
  </si>
  <si>
    <t>Гройсберг А.И.</t>
  </si>
  <si>
    <t>Шардин Ю.П.</t>
  </si>
  <si>
    <t>Головкина Д.В.</t>
  </si>
  <si>
    <t>Останина Т.В.</t>
  </si>
  <si>
    <t>Маринкин Д.Н.</t>
  </si>
  <si>
    <t>Шумихин В.Г.</t>
  </si>
  <si>
    <t>Буркина О.А.</t>
  </si>
  <si>
    <t>Нарышкина А.А.</t>
  </si>
  <si>
    <t>Мальцев Н.М.</t>
  </si>
  <si>
    <t>Карзенкова А.В.</t>
  </si>
  <si>
    <t>Сажина А.И.</t>
  </si>
  <si>
    <t>Пастухов П.С.</t>
  </si>
  <si>
    <t>Рудаков И.И.</t>
  </si>
  <si>
    <t>Калугин В.Ю.</t>
  </si>
  <si>
    <t>Кольчурина О.Н.</t>
  </si>
  <si>
    <t>Шипкова М.А.</t>
  </si>
  <si>
    <t>Котова А.В.</t>
  </si>
  <si>
    <t>Коротун В.П.</t>
  </si>
  <si>
    <t>Вяткина В.Н.</t>
  </si>
  <si>
    <t>Куликова Т.С.</t>
  </si>
  <si>
    <t>Кушев В.О.</t>
  </si>
  <si>
    <t>Шучалова Ю.С.</t>
  </si>
  <si>
    <t>Суворов А.О.</t>
  </si>
  <si>
    <t>Ильянова Ю.А.</t>
  </si>
  <si>
    <t>Лавочкина Н.В.</t>
  </si>
  <si>
    <t>Котова С.А.</t>
  </si>
  <si>
    <t>Широкова А.Д.</t>
  </si>
  <si>
    <t>Курганов М.А.</t>
  </si>
  <si>
    <t>Селезнев К.А.</t>
  </si>
  <si>
    <t>Кашин Д.В.</t>
  </si>
  <si>
    <t>Никитина Э.Н.</t>
  </si>
  <si>
    <t>Скоробогач А.В.</t>
  </si>
  <si>
    <t>Кузнецов А.И.</t>
  </si>
  <si>
    <t>Мирских И.Ю.</t>
  </si>
  <si>
    <t>Вилесова Е.С.</t>
  </si>
  <si>
    <t>Некрасова О.С.</t>
  </si>
  <si>
    <t>Саркисьян Г.И.</t>
  </si>
  <si>
    <t>Савейко А.Н.</t>
  </si>
  <si>
    <t>Папушина Ю.О.</t>
  </si>
  <si>
    <t>Кузьменкова С.В.</t>
  </si>
  <si>
    <t>Афонина А.Г.</t>
  </si>
  <si>
    <t>Андропова Т.В.</t>
  </si>
  <si>
    <t>Завертяева М.А.</t>
  </si>
  <si>
    <t>Гуреева Е.А.</t>
  </si>
  <si>
    <t>бу-18з</t>
  </si>
  <si>
    <t>э-18Уз</t>
  </si>
  <si>
    <t>м-18з</t>
  </si>
  <si>
    <t>Бартов О.Б.</t>
  </si>
  <si>
    <t>12:30-13:50</t>
  </si>
  <si>
    <t>14:00-15:20</t>
  </si>
  <si>
    <t>15:30-16:50</t>
  </si>
  <si>
    <t>17:00-18:20</t>
  </si>
  <si>
    <t xml:space="preserve">РАСПИСАНИЕ ЗАНЯТИЙ и ЭКЗАМЕНОВ
заочное отделение гр. 18з                                                       </t>
  </si>
  <si>
    <t>Сахипова М.С.</t>
  </si>
  <si>
    <t>Городилов А.Ю.</t>
  </si>
  <si>
    <t>Гарафутдинов Р.В.</t>
  </si>
  <si>
    <t>Плюснина Л.М.</t>
  </si>
  <si>
    <t>Сокерина С.В.</t>
  </si>
  <si>
    <t>Быкова А.А.</t>
  </si>
  <si>
    <t>Теплоухова В.О.</t>
  </si>
  <si>
    <t>Молчанова М.С.</t>
  </si>
  <si>
    <t>Литвинова Ю.А.</t>
  </si>
  <si>
    <t>Черединова М.С.</t>
  </si>
  <si>
    <t>Замахаева Н.П.</t>
  </si>
  <si>
    <t>Любимова Е.В.</t>
  </si>
  <si>
    <t>Фадеева И.Б.</t>
  </si>
  <si>
    <t>Рыбак А.С.</t>
  </si>
  <si>
    <t>Карпович Ю.В.</t>
  </si>
  <si>
    <t>Снитко Т.В.</t>
  </si>
  <si>
    <t>Петренко М.С.</t>
  </si>
  <si>
    <t>Протасова Н.Е.</t>
  </si>
  <si>
    <t>Корнеев В.А.</t>
  </si>
  <si>
    <t>Жуланов Е.В.</t>
  </si>
  <si>
    <t>13:10-14:30</t>
  </si>
  <si>
    <t>16:40-18:00</t>
  </si>
  <si>
    <t>18:20-19:40</t>
  </si>
  <si>
    <t>20:10-21:30</t>
  </si>
  <si>
    <t>Турьев А.А.</t>
  </si>
  <si>
    <t>Долгополова И.В.</t>
  </si>
  <si>
    <t>Гнатенко В.А.</t>
  </si>
  <si>
    <t>Буторина О.В.</t>
  </si>
  <si>
    <t>Марквирер В.Д.</t>
  </si>
  <si>
    <t>Прозорова Л.Ю.</t>
  </si>
  <si>
    <t>Куракина С.И.</t>
  </si>
  <si>
    <t>Волков А.С.</t>
  </si>
  <si>
    <t>Голубцов В.А.</t>
  </si>
  <si>
    <t>Дацун Н.Н.</t>
  </si>
  <si>
    <t>Эстерлейн Ж.В.</t>
  </si>
  <si>
    <t>Назипова М.С.</t>
  </si>
  <si>
    <t>Руднова В.А.</t>
  </si>
  <si>
    <t>Федорова И.С.</t>
  </si>
  <si>
    <t>Егоров В.С.</t>
  </si>
  <si>
    <t>Малкова М.Б.</t>
  </si>
  <si>
    <t>Мошкин А.А.</t>
  </si>
  <si>
    <t>Шарипова Д.Т.</t>
  </si>
  <si>
    <t>Курносова Т.В.</t>
  </si>
  <si>
    <t>18Уз</t>
  </si>
  <si>
    <t>м-18з (25)</t>
  </si>
  <si>
    <t>э-18Уз-1 (16) э-18Уз-2 (16)</t>
  </si>
  <si>
    <t>Грабарь В. В.</t>
  </si>
  <si>
    <t>Шакина М. А.</t>
  </si>
  <si>
    <t>Гергерт Д. В.</t>
  </si>
  <si>
    <t>Худолей К.М.</t>
  </si>
  <si>
    <t>Новиков Р.В.</t>
  </si>
  <si>
    <t>Манокин М.А.</t>
  </si>
  <si>
    <t>Новикова О.В.</t>
  </si>
  <si>
    <t>Бобров А.М.</t>
  </si>
  <si>
    <t>Писманик Л.И.</t>
  </si>
  <si>
    <t>Зорин В.В.</t>
  </si>
  <si>
    <t>Консультация к госэкзамену 22.01.2022-24.01.2022 
Госэкзамен 29.01.2022</t>
  </si>
  <si>
    <t>Научно-исследовательский семинар</t>
  </si>
  <si>
    <t>Корпоративное управление</t>
  </si>
  <si>
    <t>Антикризисное управление</t>
  </si>
  <si>
    <t>Анализ отраслевых рынков</t>
  </si>
  <si>
    <t>Этика бизнеса</t>
  </si>
  <si>
    <t>с 13.09.2021 по 19.09.2021</t>
  </si>
  <si>
    <t>сессия с 13.09.2021 по 19.09.2021</t>
  </si>
  <si>
    <t>с 20.09.2021 по 26.09.2021</t>
  </si>
  <si>
    <t>с 27.09.2021 по 03.10.2021</t>
  </si>
  <si>
    <t>он-лайн Проектный семинар ЭКЗАМЕН</t>
  </si>
  <si>
    <t>он-лайн Анализ отраслевых рынков</t>
  </si>
  <si>
    <t>он-лайн Научно-исследовательский семинар ЭКЗАМЕН</t>
  </si>
  <si>
    <t>он-лайн Антикризисное управление</t>
  </si>
  <si>
    <t>он-лайн Корпоративное управление</t>
  </si>
  <si>
    <t>он-лайн Этика бизнеса</t>
  </si>
  <si>
    <t>он-лайн Антикризисное управление ЭКЗАМЕН</t>
  </si>
  <si>
    <t>он-лайн Корпоративное управление ЭКЗАМЕН</t>
  </si>
  <si>
    <t>он-лайн Этика бизнеса ЭКЗАМЕН</t>
  </si>
  <si>
    <t>Рудник С.К.</t>
  </si>
  <si>
    <t>бу-18з (10)</t>
  </si>
  <si>
    <t>он-лайн Научно-исследовательский семинар</t>
  </si>
  <si>
    <t>11:00 -12:20 
он-лайн Анализ отраслевых рынков ЭКЗАМЕН</t>
  </si>
  <si>
    <t>он лайн Проектный семинар</t>
  </si>
  <si>
    <t>орпоративное управление</t>
  </si>
  <si>
    <t>17:20 Организационное собрание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</si>
</sst>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m\,\ yyyy"/>
    <numFmt numFmtId="175" formatCode="mmm/yyyy"/>
    <numFmt numFmtId="176" formatCode="[$-FC19]d\ mmmm\ yyyy\ \г\."/>
    <numFmt numFmtId="177" formatCode="h:m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6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4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i/>
      <sz val="12"/>
      <name val="Times New Roman Cyr"/>
      <family val="0"/>
    </font>
    <font>
      <sz val="14"/>
      <name val="Arial Cyr"/>
      <family val="2"/>
    </font>
    <font>
      <b/>
      <sz val="10"/>
      <name val="Arimo"/>
      <family val="0"/>
    </font>
    <font>
      <b/>
      <u val="single"/>
      <sz val="12"/>
      <name val="Times New Roman Cyr"/>
      <family val="0"/>
    </font>
    <font>
      <sz val="12"/>
      <name val="Arial Cyr"/>
      <family val="0"/>
    </font>
    <font>
      <b/>
      <sz val="22"/>
      <name val="Times New Roman Cyr"/>
      <family val="0"/>
    </font>
    <font>
      <b/>
      <u val="single"/>
      <sz val="16"/>
      <name val="Times New Roman Cyr"/>
      <family val="0"/>
    </font>
    <font>
      <b/>
      <u val="single"/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77" fontId="0" fillId="0" borderId="0" xfId="0" applyNumberForma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textRotation="90"/>
    </xf>
    <xf numFmtId="0" fontId="6" fillId="0" borderId="46" xfId="0" applyFont="1" applyFill="1" applyBorder="1" applyAlignment="1">
      <alignment horizontal="center" vertical="center" textRotation="90"/>
    </xf>
    <xf numFmtId="174" fontId="6" fillId="0" borderId="46" xfId="0" applyNumberFormat="1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74" fontId="6" fillId="0" borderId="52" xfId="0" applyNumberFormat="1" applyFont="1" applyFill="1" applyBorder="1" applyAlignment="1">
      <alignment horizontal="center" vertical="center" textRotation="90"/>
    </xf>
    <xf numFmtId="0" fontId="4" fillId="0" borderId="3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1" xfId="0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0" fontId="11" fillId="0" borderId="0" xfId="53" applyFont="1">
      <alignment/>
      <protection/>
    </xf>
    <xf numFmtId="0" fontId="9" fillId="0" borderId="0" xfId="53" applyFont="1">
      <alignment/>
      <protection/>
    </xf>
    <xf numFmtId="0" fontId="0" fillId="0" borderId="0" xfId="53">
      <alignment/>
      <protection/>
    </xf>
    <xf numFmtId="0" fontId="1" fillId="0" borderId="51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7" fillId="0" borderId="68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52" xfId="0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51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58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1" fillId="10" borderId="53" xfId="0" applyFont="1" applyFill="1" applyBorder="1" applyAlignment="1">
      <alignment horizontal="center"/>
    </xf>
    <xf numFmtId="0" fontId="18" fillId="10" borderId="58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4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4" fontId="6" fillId="0" borderId="64" xfId="0" applyNumberFormat="1" applyFont="1" applyFill="1" applyBorder="1" applyAlignment="1">
      <alignment horizontal="center" vertical="center" textRotation="90"/>
    </xf>
    <xf numFmtId="174" fontId="6" fillId="0" borderId="11" xfId="0" applyNumberFormat="1" applyFont="1" applyFill="1" applyBorder="1" applyAlignment="1">
      <alignment horizontal="center" vertical="center" textRotation="90"/>
    </xf>
    <xf numFmtId="174" fontId="6" fillId="0" borderId="24" xfId="0" applyNumberFormat="1" applyFont="1" applyFill="1" applyBorder="1" applyAlignment="1">
      <alignment horizontal="center" vertical="center" textRotation="90"/>
    </xf>
    <xf numFmtId="174" fontId="6" fillId="0" borderId="39" xfId="0" applyNumberFormat="1" applyFont="1" applyFill="1" applyBorder="1" applyAlignment="1">
      <alignment horizontal="center" vertical="center" textRotation="90"/>
    </xf>
    <xf numFmtId="174" fontId="6" fillId="0" borderId="14" xfId="0" applyNumberFormat="1" applyFont="1" applyFill="1" applyBorder="1" applyAlignment="1">
      <alignment horizontal="center" vertical="center" textRotation="90"/>
    </xf>
    <xf numFmtId="174" fontId="6" fillId="0" borderId="17" xfId="0" applyNumberFormat="1" applyFont="1" applyFill="1" applyBorder="1" applyAlignment="1">
      <alignment horizontal="center" vertical="center" textRotation="90"/>
    </xf>
    <xf numFmtId="0" fontId="6" fillId="0" borderId="6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/>
    </xf>
    <xf numFmtId="174" fontId="0" fillId="0" borderId="14" xfId="0" applyNumberFormat="1" applyFill="1" applyBorder="1" applyAlignment="1">
      <alignment horizontal="center" vertical="center" textRotation="90"/>
    </xf>
    <xf numFmtId="174" fontId="0" fillId="0" borderId="17" xfId="0" applyNumberForma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textRotation="90"/>
    </xf>
    <xf numFmtId="174" fontId="0" fillId="0" borderId="24" xfId="0" applyNumberFormat="1" applyFill="1" applyBorder="1" applyAlignment="1">
      <alignment horizontal="center" vertical="center" textRotation="90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" fillId="34" borderId="50" xfId="0" applyFont="1" applyFill="1" applyBorder="1" applyAlignment="1">
      <alignment horizontal="center" vertical="center" wrapText="1"/>
    </xf>
    <xf numFmtId="0" fontId="21" fillId="34" borderId="5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view="pageBreakPreview" zoomScale="70" zoomScaleNormal="60" zoomScaleSheetLayoutView="70" zoomScalePageLayoutView="0" workbookViewId="0" topLeftCell="A1">
      <selection activeCell="E92" sqref="E92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5" width="52.6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66" customHeight="1">
      <c r="A1" s="1"/>
      <c r="B1" s="2"/>
      <c r="C1" s="295" t="s">
        <v>216</v>
      </c>
      <c r="D1" s="295"/>
      <c r="E1" s="296"/>
    </row>
    <row r="2" spans="1:5" ht="27.75" customHeight="1">
      <c r="A2" s="3"/>
      <c r="B2" s="4"/>
      <c r="C2" s="297" t="s">
        <v>280</v>
      </c>
      <c r="D2" s="297"/>
      <c r="E2" s="298"/>
    </row>
    <row r="3" spans="1:5" ht="27" customHeight="1">
      <c r="A3" s="3"/>
      <c r="B3" s="4"/>
      <c r="C3" s="247" t="s">
        <v>94</v>
      </c>
      <c r="D3" s="251"/>
      <c r="E3" s="252"/>
    </row>
    <row r="4" spans="1:5" ht="28.5" customHeight="1" thickBot="1">
      <c r="A4" s="3"/>
      <c r="B4" s="3"/>
      <c r="C4" s="299" t="s">
        <v>279</v>
      </c>
      <c r="D4" s="299"/>
      <c r="E4" s="92"/>
    </row>
    <row r="5" spans="1:5" ht="30.75" customHeight="1" thickBot="1">
      <c r="A5" s="15" t="s">
        <v>0</v>
      </c>
      <c r="B5" s="6" t="s">
        <v>1</v>
      </c>
      <c r="C5" s="243" t="s">
        <v>262</v>
      </c>
      <c r="D5" s="244" t="s">
        <v>293</v>
      </c>
      <c r="E5" s="245" t="s">
        <v>261</v>
      </c>
    </row>
    <row r="6" spans="1:5" ht="32.25">
      <c r="A6" s="89" t="s">
        <v>2</v>
      </c>
      <c r="B6" s="85"/>
      <c r="C6" s="195"/>
      <c r="D6" s="198"/>
      <c r="E6" s="93"/>
    </row>
    <row r="7" spans="1:5" ht="5.25" customHeight="1">
      <c r="A7" s="288">
        <v>44452</v>
      </c>
      <c r="B7" s="7">
        <v>1</v>
      </c>
      <c r="C7" s="150"/>
      <c r="D7" s="151"/>
      <c r="E7" s="152"/>
    </row>
    <row r="8" spans="1:5" ht="5.25" customHeight="1">
      <c r="A8" s="288"/>
      <c r="B8" s="69" t="str">
        <f>VLOOKUP(B7,служ!$A$7:$B$15,2)</f>
        <v> 8:10- 9:30</v>
      </c>
      <c r="C8" s="10"/>
      <c r="D8" s="141"/>
      <c r="E8" s="73"/>
    </row>
    <row r="9" spans="1:5" ht="10.5" customHeight="1">
      <c r="A9" s="288"/>
      <c r="B9" s="74">
        <f>B7+1</f>
        <v>2</v>
      </c>
      <c r="C9" s="150"/>
      <c r="D9" s="151"/>
      <c r="E9" s="153"/>
    </row>
    <row r="10" spans="1:5" ht="10.5" customHeight="1">
      <c r="A10" s="288"/>
      <c r="B10" s="9" t="str">
        <f>VLOOKUP(B9,служ!$A$7:$B$15,2)</f>
        <v> 9:40-11:00</v>
      </c>
      <c r="C10" s="10">
        <f>IF(NOT(ISBLANK(схема!D8)),CONCATENATE(VLOOKUP(схема!D8,идент!$A$2:$B$225,2)," (ауд. 206, к.4)"),"")</f>
      </c>
      <c r="D10" s="141">
        <f>IF(NOT(ISBLANK(схема!E8)),CONCATENATE(VLOOKUP(схема!E8,идент!$A$2:$B$225,2)," (ауд. 206, к.4)"),"")</f>
      </c>
      <c r="E10" s="73">
        <f>IF(NOT(ISBLANK(схема!F10)),CONCATENATE(VLOOKUP(схема!F10,идент!$A$2:$B$195,2)," (ауд. 109, к.4)"),"")</f>
      </c>
    </row>
    <row r="11" spans="1:5" ht="24.75" customHeight="1">
      <c r="A11" s="288"/>
      <c r="B11" s="7">
        <f>B9+1</f>
        <v>3</v>
      </c>
      <c r="C11" s="150"/>
      <c r="D11" s="151"/>
      <c r="E11" s="153"/>
    </row>
    <row r="12" spans="1:5" ht="20.25" customHeight="1">
      <c r="A12" s="288"/>
      <c r="B12" s="9" t="str">
        <f>VLOOKUP(B11,служ!$A$7:$B$15,2)</f>
        <v>11:30-12:50</v>
      </c>
      <c r="C12" s="10">
        <f>IF(NOT(ISBLANK(схема!D10)),CONCATENATE(VLOOKUP(схема!D10,идент!$A$2:$B$225,2)," (ауд. 206, к.4)"),"")</f>
      </c>
      <c r="D12" s="141">
        <f>IF(NOT(ISBLANK(схема!E10)),CONCATENATE(VLOOKUP(схема!E10,идент!$A$2:$B$225,2)," (ауд. 305, к.2)"),"")</f>
      </c>
      <c r="E12" s="73">
        <f>IF(NOT(ISBLANK(схема!F10)),CONCATENATE(VLOOKUP(схема!F10,идент!$A$2:$B$225,2)," (ауд. 307, к.1)"),"")</f>
      </c>
    </row>
    <row r="13" spans="1:5" ht="21" customHeight="1">
      <c r="A13" s="288"/>
      <c r="B13" s="7">
        <f>B11+1</f>
        <v>4</v>
      </c>
      <c r="C13" s="150"/>
      <c r="D13" s="151"/>
      <c r="E13" s="152"/>
    </row>
    <row r="14" spans="1:5" ht="23.25" customHeight="1">
      <c r="A14" s="288"/>
      <c r="B14" s="9" t="str">
        <f>VLOOKUP(B13,служ!$A$7:$B$15,2)</f>
        <v>13:10-14:30</v>
      </c>
      <c r="C14" s="10">
        <f>IF(NOT(ISBLANK(схема!D12)),CONCATENATE(VLOOKUP(схема!D12,идент!$A$2:$B$225,2)," (ауд. 206, к.4)"),"")</f>
      </c>
      <c r="D14" s="141">
        <f>IF(NOT(ISBLANK(схема!E12)),CONCATENATE(VLOOKUP(схема!E12,идент!$A$2:$B$225,2)," (ауд. 305, к.2)"),"")</f>
      </c>
      <c r="E14" s="73">
        <f>IF(NOT(ISBLANK(схема!F12)),CONCATENATE(VLOOKUP(схема!F12,идент!$A$2:$B$225,2),""),"")</f>
      </c>
    </row>
    <row r="15" spans="1:5" ht="33.75" customHeight="1">
      <c r="A15" s="288"/>
      <c r="B15" s="7">
        <v>5</v>
      </c>
      <c r="C15" s="277" t="s">
        <v>274</v>
      </c>
      <c r="D15" s="278"/>
      <c r="E15" s="153" t="s">
        <v>284</v>
      </c>
    </row>
    <row r="16" spans="1:5" ht="20.25" customHeight="1">
      <c r="A16" s="288"/>
      <c r="B16" s="9" t="str">
        <f>VLOOKUP(B15,служ!$A$7:$B$15,2)</f>
        <v>15:00-16:20</v>
      </c>
      <c r="C16" s="271" t="str">
        <f>IF(NOT(ISBLANK(схема!D14)),CONCATENATE(VLOOKUP(схема!D14,идент!$A$2:$B$225,2)," (ауд. 407, к.1)"),"")</f>
        <v>Белых С.А. (ауд. 407, к.1)</v>
      </c>
      <c r="D16" s="272" t="str">
        <f>IF(NOT(ISBLANK(схема!E14)),CONCATENATE(VLOOKUP(схема!E14,идент!$A$2:$B$225,2)," (ауд. 305, к.2)"),"")</f>
        <v>Белых С.А. (ауд. 305, к.2)</v>
      </c>
      <c r="E16" s="73" t="str">
        <f>IF(NOT(ISBLANK(схема!F14)),CONCATENATE(VLOOKUP(схема!F14,идент!$A$2:$B$250,2)," "),"")</f>
        <v>Редькина А. Ю. </v>
      </c>
    </row>
    <row r="17" spans="1:5" ht="30.75" customHeight="1">
      <c r="A17" s="288"/>
      <c r="B17" s="7">
        <f>B15+1</f>
        <v>6</v>
      </c>
      <c r="C17" s="277" t="s">
        <v>296</v>
      </c>
      <c r="D17" s="278"/>
      <c r="E17" s="153" t="s">
        <v>284</v>
      </c>
    </row>
    <row r="18" spans="1:5" ht="18.75" customHeight="1">
      <c r="A18" s="288"/>
      <c r="B18" s="9" t="str">
        <f>VLOOKUP(B17,служ!$A$7:$B$15,2)</f>
        <v>16:40-18:00</v>
      </c>
      <c r="C18" s="271" t="str">
        <f>IF(NOT(ISBLANK(схема!D16)),CONCATENATE(VLOOKUP(схема!D16,идент!$A$2:$B$225,2)," (ауд. 407, к.1)"),"")</f>
        <v>Рудник С.К. (ауд. 407, к.1)</v>
      </c>
      <c r="D18" s="272" t="str">
        <f>IF(NOT(ISBLANK(схема!E16)),CONCATENATE(VLOOKUP(схема!E16,идент!$A$2:$B$225,2)," (ауд. 305, к.2)"),"")</f>
        <v>Рудник С.К. (ауд. 305, к.2)</v>
      </c>
      <c r="E18" s="73" t="str">
        <f>IF(NOT(ISBLANK(схема!F16)),CONCATENATE(VLOOKUP(схема!F16,идент!$A$2:$B$250,2)," "),"")</f>
        <v>Редькина А. Ю. </v>
      </c>
    </row>
    <row r="19" spans="1:5" ht="37.5" customHeight="1">
      <c r="A19" s="288"/>
      <c r="B19" s="7">
        <f>B17+1</f>
        <v>7</v>
      </c>
      <c r="C19" s="150" t="s">
        <v>275</v>
      </c>
      <c r="D19" s="151" t="s">
        <v>276</v>
      </c>
      <c r="E19" s="153" t="s">
        <v>294</v>
      </c>
    </row>
    <row r="20" spans="1:5" ht="23.25" customHeight="1">
      <c r="A20" s="288"/>
      <c r="B20" s="9" t="str">
        <f>VLOOKUP(B19,служ!$A$7:$B$15,2)</f>
        <v>18:20-19:40</v>
      </c>
      <c r="C20" s="264" t="str">
        <f>IF(NOT(ISBLANK(схема!D18)),CONCATENATE(VLOOKUP(схема!D18,идент!$A$2:$B$225,2)," (ауд. 407, к.1)"),"")</f>
        <v>Теплоухова В.О. (ауд. 407, к.1)</v>
      </c>
      <c r="D20" s="263" t="str">
        <f>IF(NOT(ISBLANK(схема!E18)),CONCATENATE(VLOOKUP(схема!E18,идент!$A$2:$B$225,2)," (ауд. 315, к.1)"),"")</f>
        <v>Аленина К. А. (ауд. 315, к.1)</v>
      </c>
      <c r="E20" s="73" t="str">
        <f>IF(NOT(ISBLANK(схема!F18)),CONCATENATE(VLOOKUP(схема!F18,идент!$A$2:$B$250,2)," "),"")</f>
        <v>Сажина А.И. </v>
      </c>
    </row>
    <row r="21" spans="1:5" ht="21" customHeight="1">
      <c r="A21" s="288"/>
      <c r="B21" s="7">
        <f>B19+1</f>
        <v>8</v>
      </c>
      <c r="C21" s="150" t="s">
        <v>297</v>
      </c>
      <c r="D21" s="151" t="s">
        <v>276</v>
      </c>
      <c r="E21" s="152" t="s">
        <v>294</v>
      </c>
    </row>
    <row r="22" spans="1:5" ht="18.75" customHeight="1" thickBot="1">
      <c r="A22" s="289"/>
      <c r="B22" s="11" t="str">
        <f>VLOOKUP(B21,служ!$A$7:$B$15,2)</f>
        <v>20:10-21:30</v>
      </c>
      <c r="C22" s="265" t="str">
        <f>IF(NOT(ISBLANK(схема!D20)),CONCATENATE(VLOOKUP(схема!D20,идент!$A$2:$B$225,2)," (ауд. 407, к.1)"),"")</f>
        <v>Теплоухова В.О. (ауд. 407, к.1)</v>
      </c>
      <c r="D22" s="266" t="str">
        <f>IF(NOT(ISBLANK(схема!E20)),CONCATENATE(VLOOKUP(схема!E20,идент!$A$2:$B$225,2)," (ауд. 315, к.1)"),"")</f>
        <v>Аленина К. А. (ауд. 315, к.1)</v>
      </c>
      <c r="E22" s="143" t="str">
        <f>IF(NOT(ISBLANK(схема!F20)),CONCATENATE(VLOOKUP(схема!F20,идент!$A$2:$B$250,2)," "),"")</f>
        <v>Сажина А.И. </v>
      </c>
    </row>
    <row r="23" spans="1:5" ht="26.25" customHeight="1">
      <c r="A23" s="89" t="s">
        <v>3</v>
      </c>
      <c r="B23" s="68">
        <v>1</v>
      </c>
      <c r="C23" s="157"/>
      <c r="D23" s="135"/>
      <c r="E23" s="159"/>
    </row>
    <row r="24" spans="1:5" ht="9.75" customHeight="1">
      <c r="A24" s="288">
        <f>A7+1</f>
        <v>44453</v>
      </c>
      <c r="B24" s="9" t="str">
        <f>VLOOKUP(B23,служ!$A$7:$B$15,2)</f>
        <v> 8:10- 9:30</v>
      </c>
      <c r="C24" s="10">
        <f>IF(NOT(ISBLANK(схема!D24)),CONCATENATE(VLOOKUP(схема!D24,идент!$A$2:$B$195,2),""),"")</f>
      </c>
      <c r="D24" s="119">
        <f>IF(NOT(ISBLANK(схема!E24)),CONCATENATE(VLOOKUP(схема!E24,идент!$A$2:$B$195,2),""),"")</f>
      </c>
      <c r="E24" s="73"/>
    </row>
    <row r="25" spans="1:5" ht="9.75" customHeight="1">
      <c r="A25" s="288"/>
      <c r="B25" s="74">
        <v>2</v>
      </c>
      <c r="C25" s="150"/>
      <c r="D25" s="151"/>
      <c r="E25" s="152"/>
    </row>
    <row r="26" spans="1:5" ht="9.75" customHeight="1">
      <c r="A26" s="288"/>
      <c r="B26" s="9" t="str">
        <f>VLOOKUP(B25,служ!$A$7:$B$15,2)</f>
        <v> 9:40-11:00</v>
      </c>
      <c r="C26" s="10">
        <f>IF(NOT(ISBLANK(схема!D26)),CONCATENATE(VLOOKUP(схема!D26,идент!$A$2:$B$195,2),""),"")</f>
      </c>
      <c r="D26" s="141">
        <f>IF(NOT(ISBLANK(схема!E24)),CONCATENATE(VLOOKUP(схема!E24,идент!$A$2:$B$225,2)," (ауд. 206, к.4)"),"")</f>
      </c>
      <c r="E26" s="73">
        <f>IF(NOT(ISBLANK(схема!F26)),CONCATENATE(VLOOKUP(схема!F26,идент!$A$2:$B$195,2),""),"")</f>
      </c>
    </row>
    <row r="27" spans="1:5" ht="12" customHeight="1">
      <c r="A27" s="288"/>
      <c r="B27" s="7">
        <f>B25+1</f>
        <v>3</v>
      </c>
      <c r="C27" s="277"/>
      <c r="D27" s="278"/>
      <c r="E27" s="152"/>
    </row>
    <row r="28" spans="1:5" ht="12" customHeight="1">
      <c r="A28" s="288"/>
      <c r="B28" s="9" t="str">
        <f>VLOOKUP(B27,служ!$A$7:$B$15,2)</f>
        <v>11:30-12:50</v>
      </c>
      <c r="C28" s="275">
        <f>IF(NOT(ISBLANK(схема!D28)),CONCATENATE(VLOOKUP(схема!D28,идент!$A$2:$B$195,2),""),"")</f>
      </c>
      <c r="D28" s="276">
        <f>IF(NOT(ISBLANK(схема!E28)),CONCATENATE(VLOOKUP(схема!E28,идент!$A$2:$B$195,2),""),"")</f>
      </c>
      <c r="E28" s="73">
        <f>IF(NOT(ISBLANK(схема!F28)),CONCATENATE(VLOOKUP(схема!F28,идент!$A$2:$B$195,2),""),"")</f>
      </c>
    </row>
    <row r="29" spans="1:5" ht="15" customHeight="1">
      <c r="A29" s="288"/>
      <c r="B29" s="7">
        <f>B27+1</f>
        <v>4</v>
      </c>
      <c r="C29" s="150"/>
      <c r="D29" s="151"/>
      <c r="E29" s="153"/>
    </row>
    <row r="30" spans="1:5" ht="15" customHeight="1">
      <c r="A30" s="288"/>
      <c r="B30" s="9" t="str">
        <f>VLOOKUP(B29,служ!$A$7:$B$15,2)</f>
        <v>13:10-14:30</v>
      </c>
      <c r="C30" s="10">
        <f>IF(NOT(ISBLANK(схема!D30)),CONCATENATE(VLOOKUP(схема!D30,идент!$A$2:$B$195,2),""),"")</f>
      </c>
      <c r="D30" s="141">
        <f>IF(NOT(ISBLANK(схема!E30)),CONCATENATE(VLOOKUP(схема!E30,идент!$A$2:$B$195,2)," (ауд. 306, к.2)"),"")</f>
      </c>
      <c r="E30" s="73">
        <f>IF(NOT(ISBLANK(схема!F30)),CONCATENATE(VLOOKUP(схема!F30,идент!$A$2:$B$195,2)," (ауд.122, к.2)"),"")</f>
      </c>
    </row>
    <row r="31" spans="1:5" ht="30" customHeight="1">
      <c r="A31" s="288"/>
      <c r="B31" s="7">
        <f>B29+1</f>
        <v>5</v>
      </c>
      <c r="C31" s="273"/>
      <c r="D31" s="274"/>
      <c r="E31" s="153"/>
    </row>
    <row r="32" spans="1:5" ht="18" customHeight="1">
      <c r="A32" s="288"/>
      <c r="B32" s="9" t="str">
        <f>VLOOKUP(B31,служ!$A$7:$B$15,2)</f>
        <v>15:00-16:20</v>
      </c>
      <c r="C32" s="271">
        <f>IF(NOT(ISBLANK(схема!D32)),CONCATENATE(VLOOKUP(схема!D32,идент!$A$2:$B$195,2),""),"")</f>
      </c>
      <c r="D32" s="272">
        <f>IF(NOT(ISBLANK(схема!E32)),CONCATENATE(VLOOKUP(схема!E32,идент!$A$2:$B$195,2)," (ауд. 306, к.2)"),"")</f>
      </c>
      <c r="E32" s="73">
        <f>IF(NOT(ISBLANK(схема!F32)),CONCATENATE(VLOOKUP(схема!F32,идент!$A$2:$B$195,2)," (ауд.122, к.2)"),"")</f>
      </c>
    </row>
    <row r="33" spans="1:5" ht="28.5" customHeight="1">
      <c r="A33" s="288"/>
      <c r="B33" s="7">
        <f>B31+1</f>
        <v>6</v>
      </c>
      <c r="C33" s="279" t="s">
        <v>298</v>
      </c>
      <c r="D33" s="280"/>
      <c r="E33" s="268" t="s">
        <v>298</v>
      </c>
    </row>
    <row r="34" spans="1:5" ht="21" customHeight="1">
      <c r="A34" s="288"/>
      <c r="B34" s="9" t="str">
        <f>VLOOKUP(B33,служ!$A$7:$B$15,2)</f>
        <v>16:40-18:00</v>
      </c>
      <c r="C34" s="271" t="str">
        <f>IF(NOT(ISBLANK(схема!D34)),CONCATENATE(VLOOKUP(схема!D34,идент!$A$2:$B$250,2)," (ауд. 405, к.1)"),"")</f>
        <v> (ауд. 405, к.1)</v>
      </c>
      <c r="D34" s="272" t="str">
        <f>IF(NOT(ISBLANK(схема!E34)),CONCATENATE(VLOOKUP(схема!E34,идент!$A$2:$B$195,2)," (ауд. 306, к.2)"),"")</f>
        <v>Ожегов Е.М. (ауд. 306, к.2)</v>
      </c>
      <c r="E34" s="267" t="str">
        <f>IF(NOT(ISBLANK(схема!F34)),CONCATENATE(VLOOKUP(схема!F34,идент!$A$2:$B$250,2)," (ауд.403, к.1)"),"")</f>
        <v> (ауд.403, к.1)</v>
      </c>
    </row>
    <row r="35" spans="1:5" ht="33" customHeight="1">
      <c r="A35" s="288"/>
      <c r="B35" s="7">
        <f>B33+1</f>
        <v>7</v>
      </c>
      <c r="C35" s="150" t="s">
        <v>275</v>
      </c>
      <c r="D35" s="151" t="s">
        <v>276</v>
      </c>
      <c r="E35" s="152" t="s">
        <v>278</v>
      </c>
    </row>
    <row r="36" spans="1:5" ht="18" customHeight="1">
      <c r="A36" s="288"/>
      <c r="B36" s="9" t="str">
        <f>VLOOKUP(B35,служ!$A$7:$B$15,2)</f>
        <v>18:20-19:40</v>
      </c>
      <c r="C36" s="264" t="str">
        <f>IF(NOT(ISBLANK(схема!D36)),CONCATENATE(VLOOKUP(схема!D36,идент!$A$2:$B$195,2)," (ауд. 405, к.1)"),"")</f>
        <v>Теплоухова В.О. (ауд. 405, к.1)</v>
      </c>
      <c r="D36" s="263" t="str">
        <f>IF(NOT(ISBLANK(схема!E36)),CONCATENATE(VLOOKUP(схема!E36,идент!$A$2:$B$195,2)," (ауд. 317, к.1)"),"")</f>
        <v>Аленина К. А. (ауд. 317, к.1)</v>
      </c>
      <c r="E36" s="73" t="str">
        <f>IF(NOT(ISBLANK(схема!F36)),CONCATENATE(VLOOKUP(схема!F36,идент!$A$2:$B$195,2)," (ауд.403, к.1)"),"")</f>
        <v>Сокерина С.В. (ауд.403, к.1)</v>
      </c>
    </row>
    <row r="37" spans="1:5" ht="32.25" customHeight="1">
      <c r="A37" s="300"/>
      <c r="B37" s="7">
        <f>B35+1</f>
        <v>8</v>
      </c>
      <c r="C37" s="150" t="s">
        <v>275</v>
      </c>
      <c r="D37" s="151" t="s">
        <v>276</v>
      </c>
      <c r="E37" s="152" t="s">
        <v>278</v>
      </c>
    </row>
    <row r="38" spans="1:5" ht="20.25" customHeight="1" thickBot="1">
      <c r="A38" s="301"/>
      <c r="B38" s="11" t="str">
        <f>VLOOKUP(B37,служ!$A$7:$B$15,2)</f>
        <v>20:10-21:30</v>
      </c>
      <c r="C38" s="265" t="str">
        <f>IF(NOT(ISBLANK(схема!D38)),CONCATENATE(VLOOKUP(схема!D38,идент!$A$2:$B$195,2)," (ауд. 405, к.1)"),"")</f>
        <v>Теплоухова В.О. (ауд. 405, к.1)</v>
      </c>
      <c r="D38" s="263" t="str">
        <f>IF(NOT(ISBLANK(схема!E38)),CONCATENATE(VLOOKUP(схема!E38,идент!$A$2:$B$195,2)," (ауд. 317, к.1)"),"")</f>
        <v>Аленина К. А. (ауд. 317, к.1)</v>
      </c>
      <c r="E38" s="143" t="str">
        <f>IF(NOT(ISBLANK(схема!F38)),CONCATENATE(VLOOKUP(схема!F38,идент!$A$2:$B$195,2)," (ауд.403, к.1)"),"")</f>
        <v>Сокерина С.В. (ауд.403, к.1)</v>
      </c>
    </row>
    <row r="39" spans="1:5" ht="27.75" customHeight="1">
      <c r="A39" s="91" t="s">
        <v>4</v>
      </c>
      <c r="B39" s="124"/>
      <c r="C39" s="155"/>
      <c r="D39" s="156"/>
      <c r="E39" s="123"/>
    </row>
    <row r="40" spans="1:5" ht="12" customHeight="1">
      <c r="A40" s="288">
        <f>A24+1</f>
        <v>44454</v>
      </c>
      <c r="B40" s="5">
        <v>2</v>
      </c>
      <c r="C40" s="150"/>
      <c r="D40" s="151"/>
      <c r="E40" s="153"/>
    </row>
    <row r="41" spans="1:5" ht="12" customHeight="1">
      <c r="A41" s="300"/>
      <c r="B41" s="80" t="str">
        <f>VLOOKUP(B40,служ!$A$7:$B$15,2)</f>
        <v> 9:40-11:00</v>
      </c>
      <c r="C41" s="10">
        <f>IF(NOT(ISBLANK(схема!D44)),CONCATENATE(VLOOKUP(схема!D44,идент!$A$2:$B$250,2)," (ауд. 311, к.2)"),"")</f>
      </c>
      <c r="D41" s="141">
        <f>IF(NOT(ISBLANK(схема!E44)),CONCATENATE(VLOOKUP(схема!E44,идент!$A$2:$B$250,2)," (ауд. 311, к.2)"),"")</f>
      </c>
      <c r="E41" s="73">
        <f>IF(NOT(ISBLANK(схема!F44)),CONCATENATE(VLOOKUP(схема!F44,идент!$A$2:$B$250,2)," (ауд. 311, к.2)"),"")</f>
      </c>
    </row>
    <row r="42" spans="1:5" ht="18.75" customHeight="1">
      <c r="A42" s="300"/>
      <c r="B42" s="5">
        <f>B40+1</f>
        <v>3</v>
      </c>
      <c r="C42" s="150"/>
      <c r="D42" s="151"/>
      <c r="E42" s="153"/>
    </row>
    <row r="43" spans="1:5" ht="18.75" customHeight="1">
      <c r="A43" s="300"/>
      <c r="B43" s="80" t="str">
        <f>VLOOKUP(B42,служ!$A$7:$B$15,2)</f>
        <v>11:30-12:50</v>
      </c>
      <c r="C43" s="10">
        <f>IF(NOT(ISBLANK(схема!D46)),CONCATENATE(VLOOKUP(схема!D46,идент!$A$2:$B$250,2)," (ауд. 220, к.2)"),"")</f>
      </c>
      <c r="D43" s="141">
        <f>IF(NOT(ISBLANK(схема!E46)),CONCATENATE(VLOOKUP(схема!E46,идент!$A$2:$B$250,2)," (ауд. 210, к.2)"),"")</f>
      </c>
      <c r="E43" s="73">
        <f>IF(NOT(ISBLANK(схема!F46)),CONCATENATE(VLOOKUP(схема!F46,идент!$A$2:$B$250,2)," (ауд. 311, к.2)"),"")</f>
      </c>
    </row>
    <row r="44" spans="1:5" ht="18.75" customHeight="1">
      <c r="A44" s="300"/>
      <c r="B44" s="5">
        <f>B42+1</f>
        <v>4</v>
      </c>
      <c r="C44" s="150"/>
      <c r="D44" s="151"/>
      <c r="E44" s="246"/>
    </row>
    <row r="45" spans="1:5" ht="18.75" customHeight="1">
      <c r="A45" s="300"/>
      <c r="B45" s="81" t="str">
        <f>VLOOKUP(B44,служ!$A$7:$B$15,2)</f>
        <v>13:10-14:30</v>
      </c>
      <c r="C45" s="10">
        <f>IF(NOT(ISBLANK(схема!D48)),CONCATENATE(VLOOKUP(схема!D48,идент!$A$2:$B$250,2)," (ауд. 220, к.2)"),"")</f>
      </c>
      <c r="D45" s="141">
        <f>IF(NOT(ISBLANK(схема!E48)),CONCATENATE(VLOOKUP(схема!E48,идент!$A$2:$B$250,2)," (ауд. 210, к.2)"),"")</f>
      </c>
      <c r="E45" s="73">
        <f>IF(NOT(ISBLANK(схема!F48)),CONCATENATE(VLOOKUP(схема!F48,идент!$A$2:$B$250,2)," (ауд. 305, к.2)"),"")</f>
      </c>
    </row>
    <row r="46" spans="1:5" ht="26.25" customHeight="1">
      <c r="A46" s="300"/>
      <c r="B46" s="74">
        <f>B44+1</f>
        <v>5</v>
      </c>
      <c r="C46" s="277" t="s">
        <v>274</v>
      </c>
      <c r="D46" s="278"/>
      <c r="E46" s="153" t="s">
        <v>277</v>
      </c>
    </row>
    <row r="47" spans="1:5" ht="26.25" customHeight="1">
      <c r="A47" s="300"/>
      <c r="B47" s="9" t="str">
        <f>VLOOKUP(B46,служ!$A$7:$B$15,2)</f>
        <v>15:00-16:20</v>
      </c>
      <c r="C47" s="275" t="str">
        <f>IF(NOT(ISBLANK(схема!D50)),CONCATENATE(VLOOKUP(схема!D50,идент!$A$2:$B$250,2)," (ауд. 403, к.1)"),"")</f>
        <v>Белых С.А. (ауд. 403, к.1)</v>
      </c>
      <c r="D47" s="276" t="str">
        <f>IF(NOT(ISBLANK(схема!E50)),CONCATENATE(VLOOKUP(схема!E50,идент!$A$2:$B$250,2)," (ауд. 311, к.2)"),"")</f>
        <v>Белых С.А. (ауд. 311, к.2)</v>
      </c>
      <c r="E47" s="73" t="str">
        <f>IF(NOT(ISBLANK(схема!F50)),CONCATENATE(VLOOKUP(схема!F50,идент!$A$2:$B$250,2)," (ауд. 122, к.2)"),"")</f>
        <v>Редькина А. Ю. (ауд. 122, к.2)</v>
      </c>
    </row>
    <row r="48" spans="1:5" ht="32.25" customHeight="1">
      <c r="A48" s="300"/>
      <c r="B48" s="74">
        <f>B46+1</f>
        <v>6</v>
      </c>
      <c r="C48" s="277" t="s">
        <v>274</v>
      </c>
      <c r="D48" s="278"/>
      <c r="E48" s="153" t="s">
        <v>277</v>
      </c>
    </row>
    <row r="49" spans="1:5" ht="24" customHeight="1">
      <c r="A49" s="300"/>
      <c r="B49" s="9" t="str">
        <f>VLOOKUP(B48,служ!$A$7:$B$15,2)</f>
        <v>16:40-18:00</v>
      </c>
      <c r="C49" s="275" t="str">
        <f>IF(NOT(ISBLANK(схема!D52)),CONCATENATE(VLOOKUP(схема!D52,идент!$A$2:$B$250,2)," (ауд. 403, к.1)"),"")</f>
        <v>Белых С.А. (ауд. 403, к.1)</v>
      </c>
      <c r="D49" s="276" t="str">
        <f>IF(NOT(ISBLANK(схема!E52)),CONCATENATE(VLOOKUP(схема!E52,идент!$A$2:$B$250,2)," (ауд. 311, к.2)"),"")</f>
        <v>Белых С.А. (ауд. 311, к.2)</v>
      </c>
      <c r="E49" s="73" t="str">
        <f>IF(NOT(ISBLANK(схема!F52)),CONCATENATE(VLOOKUP(схема!F52,идент!$A$2:$B$250,2)," (ауд. 122, к.2)"),"")</f>
        <v>Редькина А. Ю. (ауд. 122, к.2)</v>
      </c>
    </row>
    <row r="50" spans="1:5" ht="18.75" customHeight="1">
      <c r="A50" s="300"/>
      <c r="B50" s="74">
        <f>B48+1</f>
        <v>7</v>
      </c>
      <c r="C50" s="150" t="s">
        <v>275</v>
      </c>
      <c r="D50" s="151" t="s">
        <v>276</v>
      </c>
      <c r="E50" s="152"/>
    </row>
    <row r="51" spans="1:5" ht="18.75" customHeight="1">
      <c r="A51" s="300"/>
      <c r="B51" s="9" t="str">
        <f>VLOOKUP(B50,служ!$A$7:$B$15,2)</f>
        <v>18:20-19:40</v>
      </c>
      <c r="C51" s="10" t="str">
        <f>IF(NOT(ISBLANK(схема!D54)),CONCATENATE(VLOOKUP(схема!D54,идент!$A$2:$B$250,2)," (ауд. 401, к.1)"),"")</f>
        <v>Теплоухова В.О. (ауд. 401, к.1)</v>
      </c>
      <c r="D51" s="141" t="str">
        <f>IF(NOT(ISBLANK(схема!E54)),CONCATENATE(VLOOKUP(схема!E54,идент!$A$2:$B$250,2)," (ауд. 403, к.1)"),"")</f>
        <v>Аленина К. А. (ауд. 403, к.1)</v>
      </c>
      <c r="E51" s="73">
        <f>IF(NOT(ISBLANK(схема!F54)),CONCATENATE(VLOOKUP(схема!F54,идент!$A$2:$B$250,2)," (ауд. 305, к.2)"),"")</f>
      </c>
    </row>
    <row r="52" spans="1:5" ht="18.75" customHeight="1">
      <c r="A52" s="300"/>
      <c r="B52" s="7">
        <f>B50+1</f>
        <v>8</v>
      </c>
      <c r="C52" s="150" t="s">
        <v>275</v>
      </c>
      <c r="D52" s="151" t="s">
        <v>276</v>
      </c>
      <c r="E52" s="152"/>
    </row>
    <row r="53" spans="1:5" ht="18.75" customHeight="1" thickBot="1">
      <c r="A53" s="301"/>
      <c r="B53" s="82" t="str">
        <f>VLOOKUP(B52,служ!$A$7:$B$15,2)</f>
        <v>20:10-21:30</v>
      </c>
      <c r="C53" s="139" t="str">
        <f>IF(NOT(ISBLANK(схема!D56)),CONCATENATE(VLOOKUP(схема!D56,идент!$A$2:$B$250,2)," (ауд. 401, к.1)"),"")</f>
        <v>Теплоухова В.О. (ауд. 401, к.1)</v>
      </c>
      <c r="D53" s="142" t="str">
        <f>IF(NOT(ISBLANK(схема!E56)),CONCATENATE(VLOOKUP(схема!E56,идент!$A$2:$B$250,2)," (ауд. 403, к.1)"),"")</f>
        <v>Аленина К. А. (ауд. 403, к.1)</v>
      </c>
      <c r="E53" s="143">
        <f>IF(NOT(ISBLANK(схема!F56)),CONCATENATE(VLOOKUP(схема!F56,идент!$A$2:$B$250,2)," (ауд. 305, к.2)"),"")</f>
      </c>
    </row>
    <row r="54" spans="1:5" ht="30.75" customHeight="1">
      <c r="A54" s="89" t="s">
        <v>5</v>
      </c>
      <c r="B54" s="68">
        <v>2</v>
      </c>
      <c r="C54" s="157"/>
      <c r="D54" s="158"/>
      <c r="E54" s="162"/>
    </row>
    <row r="55" spans="1:5" ht="8.25" customHeight="1">
      <c r="A55" s="287">
        <f>A40+1</f>
        <v>44455</v>
      </c>
      <c r="B55" s="69" t="str">
        <f>VLOOKUP(B54,служ!$A$7:$B$15,2)</f>
        <v> 9:40-11:00</v>
      </c>
      <c r="C55" s="141">
        <f>IF(NOT(ISBLANK(схема!D62)),CONCATENATE(VLOOKUP(схема!D62,идент!$A$2:$B$250,2)," (ауд. 407, к.1)"),"")</f>
      </c>
      <c r="D55" s="141">
        <f>IF(NOT(ISBLANK(схема!E62)),CONCATENATE(VLOOKUP(схема!E62,идент!$A$2:$B$250,2)," (ауд. 407, к.1)"),"")</f>
      </c>
      <c r="E55" s="73">
        <f>IF(NOT(ISBLANK(схема!F62)),CONCATENATE(VLOOKUP(схема!F62,идент!$A$2:$B$250,2)," (ауд. 407, к.1)"),"")</f>
      </c>
    </row>
    <row r="56" spans="1:5" ht="8.25" customHeight="1">
      <c r="A56" s="288"/>
      <c r="B56" s="74">
        <f>B54+1</f>
        <v>3</v>
      </c>
      <c r="C56" s="150"/>
      <c r="D56" s="151"/>
      <c r="E56" s="153"/>
    </row>
    <row r="57" spans="1:5" ht="8.25" customHeight="1">
      <c r="A57" s="288"/>
      <c r="B57" s="9" t="str">
        <f>VLOOKUP(B56,служ!$A$7:$B$15,2)</f>
        <v>11:30-12:50</v>
      </c>
      <c r="C57" s="141">
        <f>IF(NOT(ISBLANK(схема!D64)),CONCATENATE(VLOOKUP(схема!D64,идент!$A$2:$B$250,2)," (ауд. 407, к.1)"),"")</f>
      </c>
      <c r="D57" s="141">
        <f>IF(NOT(ISBLANK(схема!E64)),CONCATENATE(VLOOKUP(схема!E64,идент!$A$2:$B$250,2)," (ауд. 407, к.1)"),"")</f>
      </c>
      <c r="E57" s="73">
        <f>IF(NOT(ISBLANK(схема!F64)),CONCATENATE(VLOOKUP(схема!F64,идент!$A$2:$B$250,2)," (ауд. 216, к.4)"),"")</f>
      </c>
    </row>
    <row r="58" spans="1:5" ht="18" customHeight="1">
      <c r="A58" s="288"/>
      <c r="B58" s="74">
        <f>B56+1</f>
        <v>4</v>
      </c>
      <c r="C58" s="293"/>
      <c r="D58" s="294"/>
      <c r="E58" s="153"/>
    </row>
    <row r="59" spans="1:5" ht="18" customHeight="1">
      <c r="A59" s="288"/>
      <c r="B59" s="9" t="str">
        <f>VLOOKUP(B58,служ!$A$7:$B$15,2)</f>
        <v>13:10-14:30</v>
      </c>
      <c r="C59" s="275">
        <f>IF(NOT(ISBLANK(схема!D66)),CONCATENATE(VLOOKUP(схема!D66,идент!$A$2:$B$250,2)," (ауд. 307, к.1)"),"")</f>
      </c>
      <c r="D59" s="276">
        <f>IF(NOT(ISBLANK(схема!E66)),CONCATENATE(VLOOKUP(схема!E66,идент!$A$2:$B$250,2)," "),"")</f>
      </c>
      <c r="E59" s="73">
        <f>IF(NOT(ISBLANK(схема!F66)),CONCATENATE(VLOOKUP(схема!F66,идент!$A$2:$B$250,2)," (ауд. 101, к.2)"),"")</f>
      </c>
    </row>
    <row r="60" spans="1:5" ht="38.25" customHeight="1">
      <c r="A60" s="288"/>
      <c r="B60" s="7">
        <f>B58+1</f>
        <v>5</v>
      </c>
      <c r="C60" s="273" t="s">
        <v>296</v>
      </c>
      <c r="D60" s="274"/>
      <c r="E60" s="153" t="s">
        <v>284</v>
      </c>
    </row>
    <row r="61" spans="1:5" ht="18" customHeight="1">
      <c r="A61" s="288"/>
      <c r="B61" s="9" t="str">
        <f>VLOOKUP(B60,служ!$A$7:$B$15,2)</f>
        <v>15:00-16:20</v>
      </c>
      <c r="C61" s="271" t="str">
        <f>IF(NOT(ISBLANK(схема!D68)),CONCATENATE(VLOOKUP(схема!D68,идент!$A$2:$B$250,2),""),"")</f>
        <v>Рудник С.К.</v>
      </c>
      <c r="D61" s="272" t="str">
        <f>IF(NOT(ISBLANK(схема!E68)),CONCATENATE(VLOOKUP(схема!E68,идент!$A$2:$B$250,2)," (ауд. 201, к.1) "),"")</f>
        <v>Рудник С.К. (ауд. 201, к.1) </v>
      </c>
      <c r="E61" s="73" t="str">
        <f>IF(NOT(ISBLANK(схема!F68)),CONCATENATE(VLOOKUP(схема!F68,идент!$A$2:$B$250,2),""),"")</f>
        <v>Редькина А. Ю.</v>
      </c>
    </row>
    <row r="62" spans="1:5" ht="35.25" customHeight="1">
      <c r="A62" s="288"/>
      <c r="B62" s="7">
        <f>B60+1</f>
        <v>6</v>
      </c>
      <c r="C62" s="273" t="s">
        <v>296</v>
      </c>
      <c r="D62" s="274"/>
      <c r="E62" s="153" t="s">
        <v>284</v>
      </c>
    </row>
    <row r="63" spans="1:5" ht="21" customHeight="1">
      <c r="A63" s="288"/>
      <c r="B63" s="9" t="str">
        <f>VLOOKUP(B62,служ!$A$7:$B$15,2)</f>
        <v>16:40-18:00</v>
      </c>
      <c r="C63" s="271" t="str">
        <f>IF(NOT(ISBLANK(схема!D70)),CONCATENATE(VLOOKUP(схема!D70,идент!$A$2:$B$250,2),""),"")</f>
        <v>Рудник С.К.</v>
      </c>
      <c r="D63" s="272" t="str">
        <f>IF(NOT(ISBLANK(схема!E70)),CONCATENATE(VLOOKUP(схема!E70,идент!$A$2:$B$250,2)," (ауд. 201, к.1) "),"")</f>
        <v>Рудник С.К. (ауд. 201, к.1) </v>
      </c>
      <c r="E63" s="73" t="str">
        <f>IF(NOT(ISBLANK(схема!F70)),CONCATENATE(VLOOKUP(схема!F70,идент!$A$2:$B$250,2),""),"")</f>
        <v>Редькина А. Ю.</v>
      </c>
    </row>
    <row r="64" spans="1:5" ht="35.25" customHeight="1">
      <c r="A64" s="288"/>
      <c r="B64" s="7">
        <f>B62+1</f>
        <v>7</v>
      </c>
      <c r="C64" s="150" t="s">
        <v>287</v>
      </c>
      <c r="D64" s="338"/>
      <c r="E64" s="153" t="s">
        <v>294</v>
      </c>
    </row>
    <row r="65" spans="1:5" ht="21.75" customHeight="1">
      <c r="A65" s="288"/>
      <c r="B65" s="9" t="str">
        <f>VLOOKUP(B64,служ!$A$7:$B$15,2)</f>
        <v>18:20-19:40</v>
      </c>
      <c r="C65" s="10" t="str">
        <f>IF(NOT(ISBLANK(схема!D72)),CONCATENATE(VLOOKUP(схема!D72,идент!$A$2:$B$250,2),""),"")</f>
        <v>Теплоухова В.О.</v>
      </c>
      <c r="D65" s="263">
        <f>IF(NOT(ISBLANK(схема!E72)),CONCATENATE(VLOOKUP(схема!E72,идент!$A$2:$B$250,2),""),"")</f>
      </c>
      <c r="E65" s="73" t="str">
        <f>IF(NOT(ISBLANK(схема!F72)),CONCATENATE(VLOOKUP(схема!F72,идент!$A$2:$B$250,2),""),"")</f>
        <v>Сажина А.И.</v>
      </c>
    </row>
    <row r="66" spans="1:5" ht="31.5">
      <c r="A66" s="288"/>
      <c r="B66" s="7">
        <f>B64+1</f>
        <v>8</v>
      </c>
      <c r="C66" s="150" t="s">
        <v>287</v>
      </c>
      <c r="D66" s="338"/>
      <c r="E66" s="246" t="s">
        <v>285</v>
      </c>
    </row>
    <row r="67" spans="1:5" ht="24.75" customHeight="1" thickBot="1">
      <c r="A67" s="289"/>
      <c r="B67" s="11" t="str">
        <f>VLOOKUP(B66,служ!$A$7:$B$15,2)</f>
        <v>20:10-21:30</v>
      </c>
      <c r="C67" s="10" t="str">
        <f>IF(NOT(ISBLANK(схема!D74)),CONCATENATE(VLOOKUP(схема!D74,идент!$A$2:$B$250,2),""),"")</f>
        <v>Теплоухова В.О.</v>
      </c>
      <c r="D67" s="263">
        <f>IF(NOT(ISBLANK(схема!E74)),CONCATENATE(VLOOKUP(схема!E74,идент!$A$2:$B$250,2),""),"")</f>
      </c>
      <c r="E67" s="73" t="str">
        <f>IF(NOT(ISBLANK(схема!F74)),CONCATENATE(VLOOKUP(схема!F74,идент!$A$2:$B$250,2),""),"")</f>
        <v>Сажина А.И.</v>
      </c>
    </row>
    <row r="68" spans="1:5" ht="27" customHeight="1">
      <c r="A68" s="89" t="s">
        <v>6</v>
      </c>
      <c r="B68" s="85">
        <v>1</v>
      </c>
      <c r="C68" s="157"/>
      <c r="D68" s="158"/>
      <c r="E68" s="159"/>
    </row>
    <row r="69" spans="1:5" ht="6.75" customHeight="1">
      <c r="A69" s="287">
        <f>A55+1</f>
        <v>44456</v>
      </c>
      <c r="B69" s="9" t="str">
        <f>VLOOKUP(B68,служ!$A$7:$B$15,2)</f>
        <v> 8:10- 9:30</v>
      </c>
      <c r="C69" s="141">
        <f>IF(NOT(ISBLANK(схема!D78)),CONCATENATE(VLOOKUP(схема!D78,идент!$A$2:$B$250,2)," (ауд. 407, к.1)"),"")</f>
      </c>
      <c r="D69" s="141">
        <f>IF(NOT(ISBLANK(схема!E78)),CONCATENATE(VLOOKUP(схема!E78,идент!$A$2:$B$250,2)," (ауд. 407, к.1)"),"")</f>
      </c>
      <c r="E69" s="73">
        <f>IF(NOT(ISBLANK(схема!F76)),CONCATENATE(VLOOKUP(схема!F76,идент!$A$2:$B$250,2)," (ауд. 407, к.1)"),"")</f>
      </c>
    </row>
    <row r="70" spans="1:5" ht="10.5" customHeight="1">
      <c r="A70" s="288"/>
      <c r="B70" s="7">
        <v>2</v>
      </c>
      <c r="C70" s="150"/>
      <c r="D70" s="180"/>
      <c r="E70" s="153"/>
    </row>
    <row r="71" spans="1:5" ht="10.5" customHeight="1">
      <c r="A71" s="288"/>
      <c r="B71" s="9" t="str">
        <f>VLOOKUP(B70,служ!$A$7:$B$15,2)</f>
        <v> 9:40-11:00</v>
      </c>
      <c r="C71" s="141">
        <f>IF(NOT(ISBLANK(схема!D80)),CONCATENATE(VLOOKUP(схема!D80,идент!$A$2:$B$250,2)," (ауд. 407, к.1)"),"")</f>
      </c>
      <c r="D71" s="119">
        <f>IF(NOT(ISBLANK(схема!E80)),CONCATENATE(VLOOKUP(схема!E80,идент!$A$2:$B$250,2),""),"")</f>
      </c>
      <c r="E71" s="73"/>
    </row>
    <row r="72" spans="1:5" ht="10.5" customHeight="1">
      <c r="A72" s="288"/>
      <c r="B72" s="7">
        <f>B70+1</f>
        <v>3</v>
      </c>
      <c r="C72" s="150"/>
      <c r="D72" s="180"/>
      <c r="E72" s="153"/>
    </row>
    <row r="73" spans="1:5" ht="10.5" customHeight="1">
      <c r="A73" s="288"/>
      <c r="B73" s="9" t="str">
        <f>VLOOKUP(B72,служ!$A$7:$B$15,2)</f>
        <v>11:30-12:50</v>
      </c>
      <c r="C73" s="141">
        <f>IF(NOT(ISBLANK(схема!D82)),CONCATENATE(VLOOKUP(схема!D82,идент!$A$2:$B$250,2)," (ауд. 407, к.1)"),"")</f>
      </c>
      <c r="D73" s="119">
        <f>IF(NOT(ISBLANK(схема!E82)),CONCATENATE(VLOOKUP(схема!E82,идент!$A$2:$B$250,2),""),"")</f>
      </c>
      <c r="E73" s="73"/>
    </row>
    <row r="74" spans="1:5" ht="25.5" customHeight="1">
      <c r="A74" s="288"/>
      <c r="B74" s="7">
        <f>B72+1</f>
        <v>4</v>
      </c>
      <c r="C74" s="150"/>
      <c r="D74" s="151"/>
      <c r="E74" s="153" t="s">
        <v>284</v>
      </c>
    </row>
    <row r="75" spans="1:5" ht="17.25" customHeight="1">
      <c r="A75" s="288"/>
      <c r="B75" s="9" t="str">
        <f>VLOOKUP(B74,служ!$A$7:$B$15,2)</f>
        <v>13:10-14:30</v>
      </c>
      <c r="C75" s="141">
        <f>IF(NOT(ISBLANK(схема!D84)),CONCATENATE(VLOOKUP(схема!D84,идент!$A$2:$B$250,2)," (ауд. 407, к.1)"),"")</f>
      </c>
      <c r="D75" s="119">
        <f>IF(NOT(ISBLANK(схема!E84)),CONCATENATE(VLOOKUP(схема!E84,идент!$A$2:$B$250,2)," (ауд. 307, к.2)"),"")</f>
      </c>
      <c r="E75" s="73" t="str">
        <f>IF(NOT(ISBLANK(схема!F84)),CONCATENATE(VLOOKUP(схема!F84,идент!$A$2:$B$250,2)," "),"")</f>
        <v>Редькина А. Ю. </v>
      </c>
    </row>
    <row r="76" spans="1:5" ht="18.75">
      <c r="A76" s="288"/>
      <c r="B76" s="7">
        <f>B74+1</f>
        <v>5</v>
      </c>
      <c r="C76" s="150"/>
      <c r="D76" s="151"/>
      <c r="E76" s="153" t="s">
        <v>284</v>
      </c>
    </row>
    <row r="77" spans="1:5" ht="21.75" customHeight="1">
      <c r="A77" s="288"/>
      <c r="B77" s="9" t="str">
        <f>VLOOKUP(B76,служ!$A$7:$B$15,2)</f>
        <v>15:00-16:20</v>
      </c>
      <c r="C77" s="141">
        <f>IF(NOT(ISBLANK(схема!D86)),CONCATENATE(VLOOKUP(схема!D86,идент!$A$2:$B$250,2)," (ауд. 407, к.1)"),"")</f>
      </c>
      <c r="D77" s="119">
        <f>IF(NOT(ISBLANK(схема!E86)),CONCATENATE(VLOOKUP(схема!E86,идент!$A$2:$B$250,2)," (ауд. 210, к.2)"),"")</f>
      </c>
      <c r="E77" s="73" t="str">
        <f>IF(NOT(ISBLANK(схема!F86)),CONCATENATE(VLOOKUP(схема!F86,идент!$A$2:$B$250,2),""),"")</f>
        <v>Редькина А. Ю.</v>
      </c>
    </row>
    <row r="78" spans="1:5" ht="18.75">
      <c r="A78" s="288"/>
      <c r="B78" s="7">
        <f>B76+1</f>
        <v>6</v>
      </c>
      <c r="C78" s="150"/>
      <c r="D78" s="338" t="s">
        <v>286</v>
      </c>
      <c r="E78" s="152" t="s">
        <v>288</v>
      </c>
    </row>
    <row r="79" spans="1:5" ht="25.5" customHeight="1">
      <c r="A79" s="288"/>
      <c r="B79" s="9" t="str">
        <f>VLOOKUP(B78,служ!$A$7:$B$15,2)</f>
        <v>16:40-18:00</v>
      </c>
      <c r="C79" s="141">
        <f>IF(NOT(ISBLANK(схема!D88)),CONCATENATE(VLOOKUP(схема!D88,идент!$A$2:$B$250,2)," (ауд. 115, к.2)"),"")</f>
      </c>
      <c r="D79" s="263" t="str">
        <f>IF(NOT(ISBLANK(схема!E88)),CONCATENATE(VLOOKUP(схема!E88,идент!$A$2:$B$250,2),""),"")</f>
        <v>Аленина К. А.</v>
      </c>
      <c r="E79" s="73" t="str">
        <f>IF(NOT(ISBLANK(схема!F88)),CONCATENATE(VLOOKUP(схема!F88,идент!$A$2:$B$250,2),""),"")</f>
        <v>Сокерина С.В.</v>
      </c>
    </row>
    <row r="80" spans="1:5" ht="33" customHeight="1">
      <c r="A80" s="288"/>
      <c r="B80" s="7">
        <f>B78+1</f>
        <v>7</v>
      </c>
      <c r="C80" s="154" t="s">
        <v>290</v>
      </c>
      <c r="D80" s="338" t="s">
        <v>286</v>
      </c>
      <c r="E80" s="152" t="s">
        <v>288</v>
      </c>
    </row>
    <row r="81" spans="1:5" ht="18.75" customHeight="1">
      <c r="A81" s="288"/>
      <c r="B81" s="9" t="str">
        <f>VLOOKUP(B80,служ!$A$7:$B$15,2)</f>
        <v>18:20-19:40</v>
      </c>
      <c r="C81" s="10" t="str">
        <f>IF(NOT(ISBLANK(схема!D90)),CONCATENATE(VLOOKUP(схема!D90,идент!$A$2:$B$250,2),""),"")</f>
        <v>Теплоухова В.О.</v>
      </c>
      <c r="D81" s="141" t="str">
        <f>IF(NOT(ISBLANK(схема!E90)),CONCATENATE(VLOOKUP(схема!E90,идент!$A$2:$B$250,2),""),"")</f>
        <v>Аленина К. А.</v>
      </c>
      <c r="E81" s="73" t="str">
        <f>IF(NOT(ISBLANK(схема!F90)),CONCATENATE(VLOOKUP(схема!F90,идент!$A$2:$B$250,2),""),"")</f>
        <v>Сокерина С.В.</v>
      </c>
    </row>
    <row r="82" spans="1:5" ht="24" customHeight="1">
      <c r="A82" s="288"/>
      <c r="B82" s="7">
        <f>B80+1</f>
        <v>8</v>
      </c>
      <c r="C82" s="150"/>
      <c r="D82" s="339" t="s">
        <v>289</v>
      </c>
      <c r="E82" s="152" t="s">
        <v>288</v>
      </c>
    </row>
    <row r="83" spans="1:5" ht="24" customHeight="1" thickBot="1">
      <c r="A83" s="289"/>
      <c r="B83" s="11" t="str">
        <f>VLOOKUP(B82,служ!$A$7:$B$15,2)</f>
        <v>20:10-21:30</v>
      </c>
      <c r="C83" s="139">
        <f>IF(NOT(ISBLANK(схема!D92)),CONCATENATE(VLOOKUP(схема!D92,идент!$A$2:$B$250,2)," (ауд. 309, к.2)"),"")</f>
      </c>
      <c r="D83" s="263" t="str">
        <f>IF(NOT(ISBLANK(схема!E92)),CONCATENATE(VLOOKUP(схема!E92,идент!$A$2:$B$250,2),""),"")</f>
        <v>Аленина К. А.</v>
      </c>
      <c r="E83" s="143" t="str">
        <f>IF(NOT(ISBLANK(схема!F92)),CONCATENATE(VLOOKUP(схема!F92,идент!$A$2:$B$250,2),""),"")</f>
        <v>Сокерина С.В.</v>
      </c>
    </row>
    <row r="84" spans="1:5" ht="34.5" customHeight="1">
      <c r="A84" s="90" t="s">
        <v>7</v>
      </c>
      <c r="B84" s="51">
        <v>1</v>
      </c>
      <c r="C84" s="157"/>
      <c r="D84" s="158"/>
      <c r="E84" s="259" t="s">
        <v>291</v>
      </c>
    </row>
    <row r="85" spans="1:5" ht="15.75" customHeight="1">
      <c r="A85" s="287">
        <f>A69+1</f>
        <v>44457</v>
      </c>
      <c r="B85" s="9" t="str">
        <f>VLOOKUP(B84,служ!$D$7:$E$10,2)</f>
        <v> 9:10-10:30</v>
      </c>
      <c r="C85" s="141">
        <f>IF(NOT(ISBLANK(схема!D96)),CONCATENATE(VLOOKUP(схема!D96,идент!$A$2:$B$250,2),"(ауд. 318, к.2)"),"")</f>
      </c>
      <c r="D85" s="119">
        <f>IF(NOT(ISBLANK(схема!E96)),CONCATENATE(VLOOKUP(схема!E96,идент!$A$2:$B$250,2)," (ауд 305, к.2)"),"")</f>
      </c>
      <c r="E85" s="73" t="str">
        <f>IF(NOT(ISBLANK(схема!F96)),CONCATENATE(VLOOKUP(схема!F96,идент!$A$2:$B$195,2)," "),"")</f>
        <v>Сокерина С.В. </v>
      </c>
    </row>
    <row r="86" spans="1:5" ht="15.75" customHeight="1">
      <c r="A86" s="288"/>
      <c r="B86" s="7">
        <f>B84+1</f>
        <v>2</v>
      </c>
      <c r="C86" s="150"/>
      <c r="D86" s="151"/>
      <c r="E86" s="153"/>
    </row>
    <row r="87" spans="1:5" ht="15.75" customHeight="1">
      <c r="A87" s="288"/>
      <c r="B87" s="9" t="str">
        <f>VLOOKUP(B86,служ!$D$7:$E$10,2)</f>
        <v>10:40-12:00</v>
      </c>
      <c r="C87" s="141">
        <f>IF(NOT(ISBLANK(схема!D98)),CONCATENATE(VLOOKUP(схема!D98,идент!$A$2:$B$250,2),"(ауд. 318, к.2)"),"")</f>
      </c>
      <c r="D87" s="119">
        <f>IF(NOT(ISBLANK(схема!E98)),CONCATENATE(VLOOKUP(схема!E98,идент!$A$2:$B$250,2)," (ауд 305, к.2)"),"")</f>
      </c>
      <c r="E87" s="73">
        <f>IF(NOT(ISBLANK(схема!F98)),CONCATENATE(VLOOKUP(схема!F98,идент!$A$2:$B$195,2)," "),"")</f>
      </c>
    </row>
    <row r="88" spans="1:5" ht="23.25" customHeight="1">
      <c r="A88" s="288"/>
      <c r="B88" s="7">
        <f>B86+1</f>
        <v>3</v>
      </c>
      <c r="C88" s="293" t="s">
        <v>285</v>
      </c>
      <c r="D88" s="294"/>
      <c r="E88" s="201"/>
    </row>
    <row r="89" spans="1:5" ht="23.25" customHeight="1">
      <c r="A89" s="288"/>
      <c r="B89" s="9" t="str">
        <f>VLOOKUP(B88,служ!$D$7:$E$10,2)</f>
        <v>12:40-14:00</v>
      </c>
      <c r="C89" s="275" t="str">
        <f>IF(NOT(ISBLANK(схема!D100)),CONCATENATE(VLOOKUP(схема!D100,идент!$A$2:$B$250,2),""),"")</f>
        <v>Белых С.А.</v>
      </c>
      <c r="D89" s="276" t="str">
        <f>IF(NOT(ISBLANK(схема!E100)),CONCATENATE(VLOOKUP(схема!E100,идент!$A$2:$B$250,2)," (ауд 305, к.2)"),"")</f>
        <v>Белых С.А. (ауд 305, к.2)</v>
      </c>
      <c r="E89" s="73">
        <f>IF(NOT(ISBLANK(схема!F100)),CONCATENATE(VLOOKUP(схема!F100,идент!$A$2:$B$195,2),""),"")</f>
      </c>
    </row>
    <row r="90" spans="1:5" ht="18.75" customHeight="1">
      <c r="A90" s="288"/>
      <c r="B90" s="7">
        <f>B88+1</f>
        <v>4</v>
      </c>
      <c r="C90" s="293"/>
      <c r="D90" s="294"/>
      <c r="E90" s="153"/>
    </row>
    <row r="91" spans="1:5" ht="18.75" customHeight="1">
      <c r="A91" s="288"/>
      <c r="B91" s="9" t="str">
        <f>VLOOKUP(B90,служ!$D$7:$E$10,2)</f>
        <v>14:10-15:30</v>
      </c>
      <c r="C91" s="275">
        <f>IF(NOT(ISBLANK(схема!D102)),CONCATENATE(VLOOKUP(схема!D102,идент!$A$2:$B$250,2)," (ауд.318, к.2)"),"")</f>
      </c>
      <c r="D91" s="276">
        <f>IF(NOT(ISBLANK(схема!E102)),CONCATENATE(VLOOKUP(схема!E102,идент!$A$2:$B$250,2),""),"")</f>
      </c>
      <c r="E91" s="73">
        <f>IF(NOT(ISBLANK(схема!F102)),CONCATENATE(VLOOKUP(схема!F102,идент!$A$2:$B$195,2)," "),"")</f>
      </c>
    </row>
    <row r="92" spans="1:5" ht="18.75" customHeight="1">
      <c r="A92" s="288"/>
      <c r="B92" s="7">
        <f>B90+1</f>
        <v>5</v>
      </c>
      <c r="C92" s="150"/>
      <c r="D92" s="151"/>
      <c r="E92" s="153"/>
    </row>
    <row r="93" spans="1:5" ht="18.75" customHeight="1">
      <c r="A93" s="288"/>
      <c r="B93" s="9" t="str">
        <f>VLOOKUP(B92,служ!$D$7:$E$14,2)</f>
        <v>15:40-17:00</v>
      </c>
      <c r="C93" s="141">
        <f>IF(NOT(ISBLANK(схема!D104)),CONCATENATE(VLOOKUP(схема!D104,идент!$A$2:$B$250,2),""),"")</f>
      </c>
      <c r="D93" s="119">
        <f>IF(NOT(ISBLANK(схема!E104)),CONCATENATE(VLOOKUP(схема!E104,идент!$A$2:$B$250,2),""),"")</f>
      </c>
      <c r="E93" s="73"/>
    </row>
    <row r="94" spans="1:5" ht="18.75" customHeight="1">
      <c r="A94" s="288"/>
      <c r="B94" s="7">
        <f>B92+1</f>
        <v>6</v>
      </c>
      <c r="C94" s="150"/>
      <c r="D94" s="151"/>
      <c r="E94" s="153"/>
    </row>
    <row r="95" spans="1:5" ht="18.75" customHeight="1" thickBot="1">
      <c r="A95" s="289"/>
      <c r="B95" s="11" t="str">
        <f>VLOOKUP(B94,служ!$D$7:$E$14,2)</f>
        <v>17:10-18:30</v>
      </c>
      <c r="C95" s="142">
        <f>IF(NOT(ISBLANK(схема!D106)),CONCATENATE(VLOOKUP(схема!D106,идент!$A$2:$B$250,2),""),"")</f>
      </c>
      <c r="D95" s="250">
        <f>IF(NOT(ISBLANK(схема!E106)),CONCATENATE(VLOOKUP(схема!E106,идент!$A$2:$B$250,2),""),"")</f>
      </c>
      <c r="E95" s="143"/>
    </row>
    <row r="96" spans="1:5" ht="33.75" customHeight="1">
      <c r="A96" s="248" t="s">
        <v>8</v>
      </c>
      <c r="B96" s="249">
        <v>1</v>
      </c>
      <c r="C96" s="269" t="s">
        <v>283</v>
      </c>
      <c r="D96" s="270"/>
      <c r="E96" s="203"/>
    </row>
    <row r="97" spans="1:5" ht="23.25" customHeight="1">
      <c r="A97" s="284">
        <f>A85+1</f>
        <v>44458</v>
      </c>
      <c r="B97" s="69" t="str">
        <f>VLOOKUP(B96,служ!$D$7:$E$10,2)</f>
        <v> 9:10-10:30</v>
      </c>
      <c r="C97" s="271" t="str">
        <f>IF(NOT(ISBLANK(схема!D108)),CONCATENATE(VLOOKUP(схема!D108,идент!$A$2:$B$250,2)," "),"")</f>
        <v>Рудник С.К. </v>
      </c>
      <c r="D97" s="272" t="str">
        <f>IF(NOT(ISBLANK(схема!E108)),CONCATENATE(VLOOKUP(схема!E108,идент!$A$2:$B$250,2)," (ауд. 308, к.2)"),"")</f>
        <v>Рудник С.К. (ауд. 308, к.2)</v>
      </c>
      <c r="E97" s="73">
        <f>IF(NOT(ISBLANK(схема!F108)),CONCATENATE(VLOOKUP(схема!F108,идент!$A$2:$B$250,2)," "),"")</f>
      </c>
    </row>
    <row r="98" spans="1:5" ht="43.5" customHeight="1">
      <c r="A98" s="285"/>
      <c r="B98" s="74">
        <f>B96+1</f>
        <v>2</v>
      </c>
      <c r="C98" s="150"/>
      <c r="D98" s="151"/>
      <c r="E98" s="246" t="s">
        <v>295</v>
      </c>
    </row>
    <row r="99" spans="1:5" ht="24.75" customHeight="1">
      <c r="A99" s="285"/>
      <c r="B99" s="9" t="str">
        <f>VLOOKUP(B98,служ!$D$7:$E$10,2)</f>
        <v>10:40-12:00</v>
      </c>
      <c r="C99" s="141">
        <f>IF(NOT(ISBLANK(схема!D110)),CONCATENATE(VLOOKUP(схема!D110,идент!$A$2:$B$250,2)," (ауд. 308, к.2)"),"")</f>
      </c>
      <c r="D99" s="119">
        <f>IF(NOT(ISBLANK(схема!E97)),CONCATENATE(VLOOKUP(схема!E97,идент!$A$2:$B$225,2)," (ауд. 206, к.4)"),"")</f>
      </c>
      <c r="E99" s="73" t="str">
        <f>IF(NOT(ISBLANK(схема!F110)),CONCATENATE(VLOOKUP(схема!F110,идент!$A$2:$B$250,2)," "),"")</f>
        <v>Редькина А. Ю. </v>
      </c>
    </row>
    <row r="100" spans="1:5" ht="12.75" customHeight="1">
      <c r="A100" s="285"/>
      <c r="B100" s="7">
        <f>B98+1</f>
        <v>3</v>
      </c>
      <c r="C100" s="150"/>
      <c r="D100" s="151"/>
      <c r="E100" s="152"/>
    </row>
    <row r="101" spans="1:5" ht="12.75" customHeight="1">
      <c r="A101" s="285"/>
      <c r="B101" s="9" t="str">
        <f>VLOOKUP(B100,служ!$F$7:$G$10,2)</f>
        <v>12:30-13:50</v>
      </c>
      <c r="C101" s="141">
        <f>IF(NOT(ISBLANK(схема!D112)),CONCATENATE(VLOOKUP(схема!D112,идент!$A$2:$B$250,2)," (ауд. 308, к.2)"),"")</f>
      </c>
      <c r="D101" s="119">
        <f>IF(NOT(ISBLANK(схема!E99)),CONCATENATE(VLOOKUP(схема!E99,идент!$A$2:$B$225,2)," (ауд. 206, к.4)"),"")</f>
      </c>
      <c r="E101" s="73">
        <f>IF(NOT(ISBLANK(схема!F112)),CONCATENATE(VLOOKUP(схема!F112,идент!$A$2:$B$250,2)," "),"")</f>
      </c>
    </row>
    <row r="102" spans="1:5" ht="12.75" customHeight="1">
      <c r="A102" s="285"/>
      <c r="B102" s="7">
        <f>B100+1</f>
        <v>4</v>
      </c>
      <c r="C102" s="150"/>
      <c r="D102" s="151"/>
      <c r="E102" s="153"/>
    </row>
    <row r="103" spans="1:5" ht="12.75" customHeight="1">
      <c r="A103" s="285"/>
      <c r="B103" s="9" t="str">
        <f>VLOOKUP(B102,служ!$F$7:$G$12,2)</f>
        <v>14:00-15:20</v>
      </c>
      <c r="C103" s="141">
        <f>IF(NOT(ISBLANK(схема!D101)),CONCATENATE(VLOOKUP(схема!D101,идент!$A$2:$B$225,2)," (ауд. 206, к.4)"),"")</f>
      </c>
      <c r="D103" s="119">
        <f>IF(NOT(ISBLANK(схема!E101)),CONCATENATE(VLOOKUP(схема!E101,идент!$A$2:$B$225,2)," (ауд. 206, к.4)"),"")</f>
      </c>
      <c r="E103" s="73"/>
    </row>
    <row r="104" spans="1:5" ht="12.75" customHeight="1">
      <c r="A104" s="285"/>
      <c r="B104" s="7">
        <f>B102+1</f>
        <v>5</v>
      </c>
      <c r="C104" s="150"/>
      <c r="D104" s="151"/>
      <c r="E104" s="153"/>
    </row>
    <row r="105" spans="1:5" ht="12.75" customHeight="1" thickBot="1">
      <c r="A105" s="285"/>
      <c r="B105" s="9" t="str">
        <f>VLOOKUP(B104,служ!$F$7:$G$12,2)</f>
        <v>15:30-16:50</v>
      </c>
      <c r="C105" s="255">
        <f>IF(NOT(ISBLANK(схема!D103)),CONCATENATE(VLOOKUP(схема!D103,идент!$A$2:$B$225,2)," (ауд. 206, к.4)"),"")</f>
      </c>
      <c r="D105" s="256">
        <f>IF(NOT(ISBLANK(схема!E103)),CONCATENATE(VLOOKUP(схема!E103,идент!$A$2:$B$225,2)," (ауд. 206, к.4)"),"")</f>
      </c>
      <c r="E105" s="257"/>
    </row>
    <row r="106" spans="1:5" ht="51.75" customHeight="1" thickBot="1">
      <c r="A106" s="285"/>
      <c r="B106" s="7">
        <f>B104+1</f>
        <v>6</v>
      </c>
      <c r="C106" s="290" t="s">
        <v>273</v>
      </c>
      <c r="D106" s="291"/>
      <c r="E106" s="292"/>
    </row>
    <row r="107" spans="1:5" ht="15" customHeight="1" thickBot="1">
      <c r="A107" s="286"/>
      <c r="B107" s="11" t="str">
        <f>VLOOKUP(B106,служ!$F$7:$G$12,2)</f>
        <v>17:00-18:20</v>
      </c>
      <c r="C107" s="281"/>
      <c r="D107" s="282"/>
      <c r="E107" s="283"/>
    </row>
    <row r="108" spans="1:5" ht="15.75">
      <c r="A108" s="12"/>
      <c r="B108" s="130">
        <v>44452</v>
      </c>
      <c r="C108" s="13"/>
      <c r="D108" s="13"/>
      <c r="E108" s="13"/>
    </row>
  </sheetData>
  <sheetProtection/>
  <mergeCells count="38">
    <mergeCell ref="A7:A22"/>
    <mergeCell ref="A24:A38"/>
    <mergeCell ref="A55:A67"/>
    <mergeCell ref="A40:A53"/>
    <mergeCell ref="C58:D58"/>
    <mergeCell ref="C59:D59"/>
    <mergeCell ref="C48:D48"/>
    <mergeCell ref="C15:D15"/>
    <mergeCell ref="C16:D16"/>
    <mergeCell ref="C46:D46"/>
    <mergeCell ref="C88:D88"/>
    <mergeCell ref="C1:E1"/>
    <mergeCell ref="C2:E2"/>
    <mergeCell ref="C4:D4"/>
    <mergeCell ref="C49:D49"/>
    <mergeCell ref="C27:D27"/>
    <mergeCell ref="C47:D47"/>
    <mergeCell ref="C28:D28"/>
    <mergeCell ref="C34:D34"/>
    <mergeCell ref="C62:D62"/>
    <mergeCell ref="C63:D63"/>
    <mergeCell ref="C91:D91"/>
    <mergeCell ref="C107:E107"/>
    <mergeCell ref="A97:A107"/>
    <mergeCell ref="A85:A95"/>
    <mergeCell ref="A69:A83"/>
    <mergeCell ref="C106:E106"/>
    <mergeCell ref="C90:D90"/>
    <mergeCell ref="C96:D96"/>
    <mergeCell ref="C97:D97"/>
    <mergeCell ref="C60:D60"/>
    <mergeCell ref="C61:D61"/>
    <mergeCell ref="C89:D89"/>
    <mergeCell ref="C17:D17"/>
    <mergeCell ref="C18:D18"/>
    <mergeCell ref="C31:D31"/>
    <mergeCell ref="C32:D32"/>
    <mergeCell ref="C33:D33"/>
  </mergeCells>
  <printOptions/>
  <pageMargins left="0" right="0" top="0" bottom="0" header="0" footer="0"/>
  <pageSetup fitToHeight="0" horizontalDpi="600" verticalDpi="600" orientation="portrait" paperSize="9" scale="6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view="pageBreakPreview" zoomScale="70" zoomScaleNormal="7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5" width="52.6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66" customHeight="1">
      <c r="A1" s="1"/>
      <c r="B1" s="2"/>
      <c r="C1" s="295" t="str">
        <f>'1 нед'!C1:E1</f>
        <v>РАСПИСАНИЕ ЗАНЯТИЙ и ЭКЗАМЕНОВ
заочное отделение гр. 18з                                                       </v>
      </c>
      <c r="D1" s="295"/>
      <c r="E1" s="296"/>
    </row>
    <row r="2" spans="1:5" ht="35.25" customHeight="1">
      <c r="A2" s="3"/>
      <c r="B2" s="4"/>
      <c r="C2" s="297" t="str">
        <f>'1 нед'!C2:E2</f>
        <v>сессия с 13.09.2021 по 19.09.2021</v>
      </c>
      <c r="D2" s="297"/>
      <c r="E2" s="298"/>
    </row>
    <row r="3" spans="1:5" ht="33" customHeight="1">
      <c r="A3" s="3"/>
      <c r="B3" s="4"/>
      <c r="C3" s="247" t="s">
        <v>56</v>
      </c>
      <c r="D3" s="247"/>
      <c r="E3" s="120"/>
    </row>
    <row r="4" spans="1:5" ht="40.5" customHeight="1" thickBot="1">
      <c r="A4" s="3"/>
      <c r="B4" s="3"/>
      <c r="C4" s="299" t="s">
        <v>281</v>
      </c>
      <c r="D4" s="299"/>
      <c r="E4" s="92"/>
    </row>
    <row r="5" spans="1:5" ht="36" customHeight="1" thickBot="1">
      <c r="A5" s="15" t="s">
        <v>0</v>
      </c>
      <c r="B5" s="6" t="s">
        <v>1</v>
      </c>
      <c r="C5" s="244" t="str">
        <f>'1 нед'!C5</f>
        <v>э-18Уз-1 (16) э-18Уз-2 (16)</v>
      </c>
      <c r="D5" s="244" t="str">
        <f>'1 нед'!D5</f>
        <v>бу-18з (10)</v>
      </c>
      <c r="E5" s="245" t="str">
        <f>'1 нед'!E5</f>
        <v>м-18з (25)</v>
      </c>
    </row>
    <row r="6" spans="1:5" ht="28.5" customHeight="1">
      <c r="A6" s="89" t="s">
        <v>2</v>
      </c>
      <c r="B6" s="85"/>
      <c r="C6" s="8"/>
      <c r="D6" s="104"/>
      <c r="E6" s="93"/>
    </row>
    <row r="7" spans="1:5" ht="6.75" customHeight="1">
      <c r="A7" s="285">
        <f>'1 нед'!A7:A22+7</f>
        <v>44459</v>
      </c>
      <c r="B7" s="7">
        <v>2</v>
      </c>
      <c r="C7" s="150"/>
      <c r="D7" s="211"/>
      <c r="E7" s="153"/>
    </row>
    <row r="8" spans="1:5" ht="6.75" customHeight="1">
      <c r="A8" s="285"/>
      <c r="B8" s="9" t="str">
        <f>VLOOKUP(B7,служ!$A$7:$B$15,2)</f>
        <v> 9:40-11:00</v>
      </c>
      <c r="C8" s="160">
        <f>IF(NOT(ISBLANK(схема!I8)),CONCATENATE(VLOOKUP(схема!I8,идент!$A$2:$B$250,2)," (ауд. 401, к.1)"),"")</f>
      </c>
      <c r="D8" s="217">
        <f>C8</f>
      </c>
      <c r="E8" s="161">
        <f>IF(NOT(ISBLANK(схема!L8)),CONCATENATE(VLOOKUP(схема!L8,идент!$A$2:$B$250,2)," (ауд. 315, к.1)"),"")</f>
      </c>
    </row>
    <row r="9" spans="1:5" ht="6.75" customHeight="1">
      <c r="A9" s="285"/>
      <c r="B9" s="7">
        <f>B7+1</f>
        <v>3</v>
      </c>
      <c r="C9" s="150"/>
      <c r="D9" s="211"/>
      <c r="E9" s="153"/>
    </row>
    <row r="10" spans="1:5" ht="6.75" customHeight="1">
      <c r="A10" s="285"/>
      <c r="B10" s="9" t="str">
        <f>VLOOKUP(B9,служ!$A$7:$B$15,2)</f>
        <v>11:30-12:50</v>
      </c>
      <c r="C10" s="160">
        <f>IF(NOT(ISBLANK(схема!I10)),CONCATENATE(VLOOKUP(схема!I10,идент!$A$2:$B$250,2)," (ауд. 307, к.1)"),"")</f>
      </c>
      <c r="D10" s="217">
        <f>C10</f>
      </c>
      <c r="E10" s="161">
        <f>IF(NOT(ISBLANK(схема!L10)),CONCATENATE(VLOOKUP(схема!L10,идент!$A$2:$B$250,2)," (ауд. 307, к.1)"),"")</f>
      </c>
    </row>
    <row r="11" spans="1:5" ht="51" customHeight="1">
      <c r="A11" s="285"/>
      <c r="B11" s="7">
        <f>B9+1</f>
        <v>4</v>
      </c>
      <c r="C11" s="150"/>
      <c r="D11" s="151"/>
      <c r="E11" s="152"/>
    </row>
    <row r="12" spans="1:5" ht="13.5" customHeight="1">
      <c r="A12" s="285"/>
      <c r="B12" s="9" t="str">
        <f>VLOOKUP(B11,служ!$A$7:$B$15,2)</f>
        <v>13:10-14:30</v>
      </c>
      <c r="C12" s="160">
        <f>IF(NOT(ISBLANK(схема!I12)),CONCATENATE(VLOOKUP(схема!I12,идент!$A$2:$B$250,2)," (ауд. 220, к.2)"),"")</f>
      </c>
      <c r="D12" s="163">
        <f>IF(NOT(ISBLANK(схема!K12)),CONCATENATE(VLOOKUP(схема!K12,идент!$A$2:$B$250,2),""),"")</f>
      </c>
      <c r="E12" s="161">
        <f>IF(NOT(ISBLANK(схема!L12)),CONCATENATE(VLOOKUP(схема!L12,идент!$A$2:$B$250,2),""),"")</f>
      </c>
    </row>
    <row r="13" spans="1:5" ht="54" customHeight="1">
      <c r="A13" s="285"/>
      <c r="B13" s="7">
        <v>5</v>
      </c>
      <c r="C13" s="150"/>
      <c r="D13" s="151"/>
      <c r="E13" s="153"/>
    </row>
    <row r="14" spans="1:5" ht="22.5" customHeight="1">
      <c r="A14" s="285"/>
      <c r="B14" s="9" t="str">
        <f>VLOOKUP(B13,служ!$A$7:$B$15,2)</f>
        <v>15:00-16:20</v>
      </c>
      <c r="C14" s="200">
        <f>IF(NOT(ISBLANK(схема!I14)),CONCATENATE(VLOOKUP(схема!I14,идент!$A$2:$B$250,2)," (ауд. 124, к.2)"),"")</f>
      </c>
      <c r="D14" s="163">
        <f>IF(NOT(ISBLANK(схема!K14)),CONCATENATE(VLOOKUP(схема!K14,идент!$A$2:$B$250,2),""),"")</f>
      </c>
      <c r="E14" s="161">
        <f>IF(NOT(ISBLANK(схема!L14)),CONCATENATE(VLOOKUP(схема!L14,идент!$A$2:$B$250,2),""),"")</f>
      </c>
    </row>
    <row r="15" spans="1:5" ht="50.25" customHeight="1">
      <c r="A15" s="285"/>
      <c r="B15" s="7">
        <f>B13+1</f>
        <v>6</v>
      </c>
      <c r="C15" s="150"/>
      <c r="D15" s="211"/>
      <c r="E15" s="153"/>
    </row>
    <row r="16" spans="1:5" ht="18" customHeight="1">
      <c r="A16" s="285"/>
      <c r="B16" s="9" t="str">
        <f>VLOOKUP(B15,служ!$A$7:$B$15,2)</f>
        <v>16:40-18:00</v>
      </c>
      <c r="C16" s="200">
        <f>IF(NOT(ISBLANK(схема!I16)),CONCATENATE(VLOOKUP(схема!I16,идент!$A$2:$B$250,2)," (ауд. 124, к.2)"),"")</f>
      </c>
      <c r="D16" s="212">
        <f>IF(NOT(ISBLANK(схема!K16)),CONCATENATE(VLOOKUP(схема!K16,идент!$A$2:$B$250,2),""),"")</f>
      </c>
      <c r="E16" s="161">
        <f>IF(NOT(ISBLANK(схема!L16)),CONCATENATE(VLOOKUP(схема!L16,идент!$A$2:$B$250,2),""),"")</f>
      </c>
    </row>
    <row r="17" spans="1:5" ht="43.5" customHeight="1">
      <c r="A17" s="285"/>
      <c r="B17" s="74">
        <f>B15+1</f>
        <v>7</v>
      </c>
      <c r="C17" s="277"/>
      <c r="D17" s="278"/>
      <c r="E17" s="152"/>
    </row>
    <row r="18" spans="1:5" ht="24.75" customHeight="1">
      <c r="A18" s="285"/>
      <c r="B18" s="9" t="str">
        <f>VLOOKUP(B17,служ!$A$7:$B$15,2)</f>
        <v>18:20-19:40</v>
      </c>
      <c r="C18" s="275">
        <f>IF(NOT(ISBLANK(схема!I18)),CONCATENATE(VLOOKUP(схема!I18,идент!$A$2:$B$250,2),""),"")</f>
      </c>
      <c r="D18" s="276">
        <f>C18</f>
      </c>
      <c r="E18" s="161">
        <f>IF(NOT(ISBLANK(схема!L18)),CONCATENATE(VLOOKUP(схема!L18,идент!$A$2:$B$250,2),""),"")</f>
      </c>
    </row>
    <row r="19" spans="1:5" ht="46.5" customHeight="1">
      <c r="A19" s="285"/>
      <c r="B19" s="74">
        <f>B17+1</f>
        <v>8</v>
      </c>
      <c r="C19" s="277"/>
      <c r="D19" s="278"/>
      <c r="E19" s="152"/>
    </row>
    <row r="20" spans="1:5" ht="19.5" customHeight="1" thickBot="1">
      <c r="A20" s="286"/>
      <c r="B20" s="11" t="str">
        <f>VLOOKUP(B19,служ!$A$7:$B$15,2)</f>
        <v>20:10-21:30</v>
      </c>
      <c r="C20" s="281">
        <f>IF(NOT(ISBLANK(схема!I20)),CONCATENATE(VLOOKUP(схема!I20,идент!$A$2:$B$250,2),""),"")</f>
      </c>
      <c r="D20" s="302">
        <f>C20</f>
      </c>
      <c r="E20" s="164">
        <f>IF(NOT(ISBLANK(схема!L20)),CONCATENATE(VLOOKUP(схема!L20,идент!$A$2:$B$250,2),""),"")</f>
      </c>
    </row>
    <row r="21" spans="1:5" ht="26.25" customHeight="1">
      <c r="A21" s="89" t="s">
        <v>3</v>
      </c>
      <c r="B21" s="85"/>
      <c r="C21" s="157"/>
      <c r="D21" s="158"/>
      <c r="E21" s="162"/>
    </row>
    <row r="22" spans="1:5" ht="9.75" customHeight="1">
      <c r="A22" s="287">
        <f>A7+1</f>
        <v>44460</v>
      </c>
      <c r="B22" s="7">
        <v>2</v>
      </c>
      <c r="C22" s="150"/>
      <c r="D22" s="151"/>
      <c r="E22" s="153"/>
    </row>
    <row r="23" spans="1:5" ht="9.75" customHeight="1">
      <c r="A23" s="288"/>
      <c r="B23" s="9" t="str">
        <f>VLOOKUP(B22,служ!$A$7:$B$15,2)</f>
        <v> 9:40-11:00</v>
      </c>
      <c r="C23" s="160">
        <f>IF(NOT(ISBLANK(схема!I26)),CONCATENATE(VLOOKUP(схема!I26,идент!$A$2:$B$250,2)," (ауд. 405, к.1)"),"")</f>
      </c>
      <c r="D23" s="163">
        <f>IF(NOT(ISBLANK(схема!K26)),CONCATENATE(VLOOKUP(схема!K26,идент!$A$2:$B$250,2)," (ауд. 405, к.1)"),"")</f>
      </c>
      <c r="E23" s="161">
        <f>IF(NOT(ISBLANK(схема!L26)),CONCATENATE(VLOOKUP(схема!L26,идент!$A$2:$B$250,2)," (ауд. 405, к.1)"),"")</f>
      </c>
    </row>
    <row r="24" spans="1:5" ht="48.75" customHeight="1">
      <c r="A24" s="288"/>
      <c r="B24" s="74">
        <f>B22+1</f>
        <v>3</v>
      </c>
      <c r="C24" s="150"/>
      <c r="D24" s="151"/>
      <c r="E24" s="152"/>
    </row>
    <row r="25" spans="1:5" ht="23.25" customHeight="1">
      <c r="A25" s="288"/>
      <c r="B25" s="9" t="str">
        <f>VLOOKUP(B24,служ!$A$7:$B$15,2)</f>
        <v>11:30-12:50</v>
      </c>
      <c r="C25" s="160">
        <f>IF(NOT(ISBLANK(схема!I28)),CONCATENATE(VLOOKUP(схема!I28,идент!$A$2:$B$250,2)," (ауд. 405, к.1)"),"")</f>
      </c>
      <c r="D25" s="163">
        <f>IF(NOT(ISBLANK(схема!K28)),CONCATENATE(VLOOKUP(схема!K28,идент!$A$2:$B$250,2)," (ауд. 405, к.1)"),"")</f>
      </c>
      <c r="E25" s="161">
        <f>IF(NOT(ISBLANK(схема!L28)),CONCATENATE(VLOOKUP(схема!L28,идент!$A$2:$B$250,2)," "),"")</f>
      </c>
    </row>
    <row r="26" spans="1:5" ht="48.75" customHeight="1">
      <c r="A26" s="288"/>
      <c r="B26" s="7">
        <f>B24+1</f>
        <v>4</v>
      </c>
      <c r="C26" s="150"/>
      <c r="D26" s="151"/>
      <c r="E26" s="152"/>
    </row>
    <row r="27" spans="1:5" ht="15.75">
      <c r="A27" s="288"/>
      <c r="B27" s="9" t="str">
        <f>VLOOKUP(B26,служ!$A$7:$B$15,2)</f>
        <v>13:10-14:30</v>
      </c>
      <c r="C27" s="160">
        <f>IF(NOT(ISBLANK(схема!I30)),CONCATENATE(VLOOKUP(схема!I30,идент!$A$2:$B$250,2)," (ауд. 111, к.3)"),"")</f>
      </c>
      <c r="D27" s="163"/>
      <c r="E27" s="161">
        <f>IF(NOT(ISBLANK(схема!L30)),CONCATENATE(VLOOKUP(схема!L30,идент!$A$2:$B$250,2)," "),"")</f>
      </c>
    </row>
    <row r="28" spans="1:5" ht="38.25" customHeight="1">
      <c r="A28" s="288"/>
      <c r="B28" s="7">
        <f>B26+1</f>
        <v>5</v>
      </c>
      <c r="C28" s="154"/>
      <c r="D28" s="211"/>
      <c r="E28" s="153"/>
    </row>
    <row r="29" spans="1:5" ht="19.5" customHeight="1">
      <c r="A29" s="288"/>
      <c r="B29" s="9" t="str">
        <f>VLOOKUP(B28,служ!$A$7:$B$15,2)</f>
        <v>15:00-16:20</v>
      </c>
      <c r="C29" s="160">
        <f>IF(NOT(ISBLANK(схема!I32)),CONCATENATE(VLOOKUP(схема!I32,идент!$A$2:$B$250,2),""),"")</f>
      </c>
      <c r="D29" s="212">
        <f>IF(NOT(ISBLANK(схема!K32)),CONCATENATE(VLOOKUP(схема!K32,идент!$A$2:$B$250,2),""),"")</f>
      </c>
      <c r="E29" s="161">
        <f>IF(NOT(ISBLANK(схема!L32)),CONCATENATE(VLOOKUP(схема!L32,идент!$A$2:$B$250,2)," "),"")</f>
      </c>
    </row>
    <row r="30" spans="1:5" ht="32.25" customHeight="1">
      <c r="A30" s="288"/>
      <c r="B30" s="7">
        <f>B28+1</f>
        <v>6</v>
      </c>
      <c r="C30" s="150"/>
      <c r="D30" s="211"/>
      <c r="E30" s="153"/>
    </row>
    <row r="31" spans="1:5" ht="21.75" customHeight="1">
      <c r="A31" s="288"/>
      <c r="B31" s="9" t="str">
        <f>VLOOKUP(B30,служ!$A$7:$B$15,2)</f>
        <v>16:40-18:00</v>
      </c>
      <c r="C31" s="160">
        <f>IF(NOT(ISBLANK(схема!I34)),CONCATENATE(VLOOKUP(схема!I34,идент!$A$2:$B$250,2)," (ауд.312, к.2)"),"")</f>
      </c>
      <c r="D31" s="212">
        <f>IF(NOT(ISBLANK(схема!K34)),CONCATENATE(VLOOKUP(схема!K34,идент!$A$2:$B$250,2),""),"")</f>
      </c>
      <c r="E31" s="161">
        <f>IF(NOT(ISBLANK(схема!L34)),CONCATENATE(VLOOKUP(схема!L34,идент!$A$2:$B$250,2)," "),"")</f>
      </c>
    </row>
    <row r="32" spans="1:5" ht="68.25" customHeight="1">
      <c r="A32" s="288"/>
      <c r="B32" s="7">
        <f>B30+1</f>
        <v>7</v>
      </c>
      <c r="C32" s="277"/>
      <c r="D32" s="278"/>
      <c r="E32" s="201"/>
    </row>
    <row r="33" spans="1:5" ht="32.25" customHeight="1">
      <c r="A33" s="288"/>
      <c r="B33" s="9" t="str">
        <f>VLOOKUP(B32,служ!$A$7:$B$15,2)</f>
        <v>18:20-19:40</v>
      </c>
      <c r="C33" s="275">
        <f>IF(NOT(ISBLANK(схема!I36)),CONCATENATE(VLOOKUP(схема!I36,идент!$A$2:$B$250,2)," "),"")</f>
      </c>
      <c r="D33" s="276">
        <f>C33</f>
      </c>
      <c r="E33" s="161">
        <f>IF(NOT(ISBLANK(схема!L36)),CONCATENATE(VLOOKUP(схема!L36,идент!$A$2:$B$250,2)," "),"")</f>
      </c>
    </row>
    <row r="34" spans="1:5" ht="34.5" customHeight="1">
      <c r="A34" s="288"/>
      <c r="B34" s="7">
        <f>B32+1</f>
        <v>8</v>
      </c>
      <c r="C34" s="277"/>
      <c r="D34" s="278"/>
      <c r="E34" s="152"/>
    </row>
    <row r="35" spans="1:5" ht="32.25" customHeight="1" thickBot="1">
      <c r="A35" s="289"/>
      <c r="B35" s="11" t="str">
        <f>VLOOKUP(B34,служ!$A$7:$B$15,2)</f>
        <v>20:10-21:30</v>
      </c>
      <c r="C35" s="281">
        <f>IF(NOT(ISBLANK(схема!I38)),CONCATENATE(VLOOKUP(схема!I38,идент!$A$2:$B$250,2)," "),"")</f>
      </c>
      <c r="D35" s="302">
        <f>C35</f>
      </c>
      <c r="E35" s="164">
        <f>IF(NOT(ISBLANK(схема!L38)),CONCATENATE(VLOOKUP(схема!L38,идент!$A$2:$B$250,2)," (ауд.311, к.2) "),"")</f>
      </c>
    </row>
    <row r="36" spans="1:5" ht="36.75" customHeight="1">
      <c r="A36" s="91" t="s">
        <v>4</v>
      </c>
      <c r="B36" s="68">
        <v>2</v>
      </c>
      <c r="C36" s="157"/>
      <c r="D36" s="158"/>
      <c r="E36" s="162"/>
    </row>
    <row r="37" spans="1:5" ht="8.25" customHeight="1">
      <c r="A37" s="288">
        <f>A22+1</f>
        <v>44461</v>
      </c>
      <c r="B37" s="9" t="str">
        <f>VLOOKUP(B36,служ!$A$7:$B$15,2)</f>
        <v> 9:40-11:00</v>
      </c>
      <c r="C37" s="160">
        <f>IF(NOT(ISBLANK(схема!I44)),CONCATENATE(VLOOKUP(схема!I44,идент!$A$2:$B$250,2)," (ауд. 403, к.1)"),"")</f>
      </c>
      <c r="D37" s="163">
        <f>IF(NOT(ISBLANK(схема!K44)),CONCATENATE(VLOOKUP(схема!K44,идент!$A$2:$B$250,2)," (ауд. 403, к.1)"),"")</f>
      </c>
      <c r="E37" s="161">
        <f>IF(NOT(ISBLANK(схема!L44)),CONCATENATE(VLOOKUP(схема!L44,идент!$A$2:$B$250,2)," (ауд. 403, к.1)"),"")</f>
      </c>
    </row>
    <row r="38" spans="1:5" ht="39.75" customHeight="1">
      <c r="A38" s="288"/>
      <c r="B38" s="7">
        <f>B36+1</f>
        <v>3</v>
      </c>
      <c r="C38" s="150"/>
      <c r="D38" s="211"/>
      <c r="E38" s="153"/>
    </row>
    <row r="39" spans="1:5" ht="16.5" customHeight="1">
      <c r="A39" s="288"/>
      <c r="B39" s="9" t="str">
        <f>VLOOKUP(B38,служ!$A$7:$B$15,2)</f>
        <v>11:30-12:50</v>
      </c>
      <c r="C39" s="160">
        <f>IF(NOT(ISBLANK(схема!I46)),CONCATENATE(VLOOKUP(схема!I46,идент!$A$2:$B$250,2)," (ауд. 403, к.1)"),"")</f>
      </c>
      <c r="D39" s="212">
        <f>IF(NOT(ISBLANK(схема!K46)),CONCATENATE(VLOOKUP(схема!K46,идент!$A$2:$B$250,2)," (ауд. 403, к.1)"),"")</f>
      </c>
      <c r="E39" s="161"/>
    </row>
    <row r="40" spans="1:5" ht="53.25" customHeight="1">
      <c r="A40" s="288"/>
      <c r="B40" s="7">
        <f>B38+1</f>
        <v>4</v>
      </c>
      <c r="C40" s="150"/>
      <c r="D40" s="151"/>
      <c r="E40" s="152"/>
    </row>
    <row r="41" spans="1:5" ht="18.75" customHeight="1">
      <c r="A41" s="288"/>
      <c r="B41" s="9" t="str">
        <f>VLOOKUP(B40,служ!$A$7:$B$15,2)</f>
        <v>13:10-14:30</v>
      </c>
      <c r="C41" s="160">
        <f>IF(NOT(ISBLANK(схема!I48)),CONCATENATE(VLOOKUP(схема!I48,идент!$A$2:$B$250,2)," (ауд. 307, к.2)"),"")</f>
      </c>
      <c r="D41" s="163">
        <f>IF(NOT(ISBLANK(схема!K48)),CONCATENATE(VLOOKUP(схема!K48,идент!$A$2:$B$250,2),""),"")</f>
      </c>
      <c r="E41" s="161">
        <f>IF(NOT(ISBLANK(схема!L48)),CONCATENATE(VLOOKUP(схема!L48,идент!$A$2:$B$250,2)," "),"")</f>
      </c>
    </row>
    <row r="42" spans="1:5" ht="50.25" customHeight="1">
      <c r="A42" s="288"/>
      <c r="B42" s="69">
        <f>B40+1</f>
        <v>5</v>
      </c>
      <c r="C42" s="150"/>
      <c r="D42" s="211"/>
      <c r="E42" s="153"/>
    </row>
    <row r="43" spans="1:5" ht="18.75" customHeight="1">
      <c r="A43" s="288"/>
      <c r="B43" s="9" t="str">
        <f>VLOOKUP(B42,служ!$A$7:$B$15,2)</f>
        <v>15:00-16:20</v>
      </c>
      <c r="C43" s="160">
        <f>IF(NOT(ISBLANK(схема!I50)),CONCATENATE(VLOOKUP(схема!I50,идент!$A$2:$B$250,2)," (ауд.307, к.2)"),"")</f>
      </c>
      <c r="D43" s="212">
        <f>IF(NOT(ISBLANK(схема!K50)),CONCATENATE(VLOOKUP(схема!K50,идент!$A$2:$B$250,2),""),"")</f>
      </c>
      <c r="E43" s="161">
        <f>IF(NOT(ISBLANK(схема!L50)),CONCATENATE(VLOOKUP(схема!L50,идент!$A$2:$B$250,2)," "),"")</f>
      </c>
    </row>
    <row r="44" spans="1:5" ht="46.5" customHeight="1">
      <c r="A44" s="288"/>
      <c r="B44" s="69">
        <f>B42+1</f>
        <v>6</v>
      </c>
      <c r="C44" s="150"/>
      <c r="D44" s="211"/>
      <c r="E44" s="153"/>
    </row>
    <row r="45" spans="1:5" ht="19.5" customHeight="1">
      <c r="A45" s="288"/>
      <c r="B45" s="9" t="str">
        <f>VLOOKUP(B44,служ!$A$7:$B$15,2)</f>
        <v>16:40-18:00</v>
      </c>
      <c r="C45" s="160">
        <f>IF(NOT(ISBLANK(схема!I52)),CONCATENATE(VLOOKUP(схема!I52,идент!$A$2:$B$250,2)," (ауд.307, к.2)"),"")</f>
      </c>
      <c r="D45" s="212">
        <f>IF(NOT(ISBLANK(схема!K52)),CONCATENATE(VLOOKUP(схема!K52,идент!$A$2:$B$250,2),""),"")</f>
      </c>
      <c r="E45" s="161">
        <f>IF(NOT(ISBLANK(схема!L52)),CONCATENATE(VLOOKUP(схема!L52,идент!$A$2:$B$250,2)," "),"")</f>
      </c>
    </row>
    <row r="46" spans="1:5" ht="36.75" customHeight="1">
      <c r="A46" s="288"/>
      <c r="B46" s="69">
        <f>B44+1</f>
        <v>7</v>
      </c>
      <c r="C46" s="277"/>
      <c r="D46" s="278"/>
      <c r="E46" s="152"/>
    </row>
    <row r="47" spans="1:5" ht="22.5" customHeight="1">
      <c r="A47" s="288"/>
      <c r="B47" s="9" t="str">
        <f>VLOOKUP(B46,служ!$A$7:$B$15,2)</f>
        <v>18:20-19:40</v>
      </c>
      <c r="C47" s="275">
        <f>IF(NOT(ISBLANK(схема!I54)),CONCATENATE(VLOOKUP(схема!I54,идент!$A$2:$B$250,2),""),"")</f>
      </c>
      <c r="D47" s="276">
        <f>IF(NOT(ISBLANK(схема!K54)),CONCATENATE(VLOOKUP(схема!K54,идент!$A$2:$B$250,2),""),"")</f>
      </c>
      <c r="E47" s="161">
        <f>IF(NOT(ISBLANK(схема!L54)),CONCATENATE(VLOOKUP(схема!L54,идент!$A$2:$B$250,2)," "),"")</f>
      </c>
    </row>
    <row r="48" spans="1:5" ht="40.5" customHeight="1">
      <c r="A48" s="288"/>
      <c r="B48" s="69">
        <f>B46+1</f>
        <v>8</v>
      </c>
      <c r="C48" s="277"/>
      <c r="D48" s="278"/>
      <c r="E48" s="152"/>
    </row>
    <row r="49" spans="1:5" ht="22.5" customHeight="1" thickBot="1">
      <c r="A49" s="289"/>
      <c r="B49" s="11" t="str">
        <f>VLOOKUP(B48,служ!$A$7:$B$15,2)</f>
        <v>20:10-21:30</v>
      </c>
      <c r="C49" s="281">
        <f>IF(NOT(ISBLANK(схема!I56)),CONCATENATE(VLOOKUP(схема!I56,идент!$A$2:$B$250,2),""),"")</f>
      </c>
      <c r="D49" s="302">
        <f>IF(NOT(ISBLANK(схема!K56)),CONCATENATE(VLOOKUP(схема!K56,идент!$A$2:$B$250,2),""),"")</f>
      </c>
      <c r="E49" s="164">
        <f>IF(NOT(ISBLANK(схема!L56)),CONCATENATE(VLOOKUP(схема!L56,идент!$A$2:$B$250,2)," "),"")</f>
      </c>
    </row>
    <row r="50" spans="1:5" ht="28.5" customHeight="1">
      <c r="A50" s="103" t="s">
        <v>5</v>
      </c>
      <c r="B50" s="86"/>
      <c r="C50" s="157"/>
      <c r="D50" s="158"/>
      <c r="E50" s="162"/>
    </row>
    <row r="51" spans="1:5" ht="6" customHeight="1">
      <c r="A51" s="287">
        <f>A37+1</f>
        <v>44462</v>
      </c>
      <c r="B51" s="7">
        <v>2</v>
      </c>
      <c r="C51" s="165"/>
      <c r="D51" s="166"/>
      <c r="E51" s="167"/>
    </row>
    <row r="52" spans="1:5" ht="6" customHeight="1">
      <c r="A52" s="311"/>
      <c r="B52" s="9" t="str">
        <f>VLOOKUP(B51,служ!$A$7:$B$15,2)</f>
        <v> 9:40-11:00</v>
      </c>
      <c r="C52" s="160">
        <f>IF(NOT(ISBLANK(схема!I62)),CONCATENATE(VLOOKUP(схема!I62,идент!$A$2:$B$215,2)," (ауд. 403, к.1)"),"")</f>
      </c>
      <c r="D52" s="163">
        <f>IF(NOT(ISBLANK(схема!K62)),CONCATENATE(VLOOKUP(схема!K62,идент!$A$2:$B$215,2)," (ауд. 403, к.1)"),"")</f>
      </c>
      <c r="E52" s="161">
        <f>IF(NOT(ISBLANK(схема!L62)),CONCATENATE(VLOOKUP(схема!L62,идент!$A$2:$B$215,2)," (ауд. 403, к.1)"),"")</f>
      </c>
    </row>
    <row r="53" spans="1:5" ht="14.25" customHeight="1">
      <c r="A53" s="311"/>
      <c r="B53" s="7">
        <f>B51+1</f>
        <v>3</v>
      </c>
      <c r="C53" s="150"/>
      <c r="D53" s="307"/>
      <c r="E53" s="308"/>
    </row>
    <row r="54" spans="1:5" ht="14.25" customHeight="1">
      <c r="A54" s="311"/>
      <c r="B54" s="9" t="str">
        <f>VLOOKUP(B53,служ!$A$7:$B$15,2)</f>
        <v>11:30-12:50</v>
      </c>
      <c r="C54" s="160">
        <f>IF(NOT(ISBLANK(схема!I64)),CONCATENATE(VLOOKUP(схема!I64,идент!$A$2:$B$215,2)," (ауд. 403, к.1)"),"")</f>
      </c>
      <c r="D54" s="305"/>
      <c r="E54" s="306"/>
    </row>
    <row r="55" spans="1:5" ht="52.5" customHeight="1">
      <c r="A55" s="311"/>
      <c r="B55" s="7">
        <f>B53+1</f>
        <v>4</v>
      </c>
      <c r="C55" s="150"/>
      <c r="D55" s="151"/>
      <c r="E55" s="153"/>
    </row>
    <row r="56" spans="1:5" ht="21.75" customHeight="1">
      <c r="A56" s="311"/>
      <c r="B56" s="9" t="str">
        <f>VLOOKUP(B55,служ!$A$7:$B$15,2)</f>
        <v>13:10-14:30</v>
      </c>
      <c r="C56" s="160">
        <f>IF(NOT(ISBLANK(схема!I66)),CONCATENATE(VLOOKUP(схема!I66,идент!$A$2:$B$215,2)," (ауд. 122, к.2)"),"")</f>
      </c>
      <c r="D56" s="163">
        <f>IF(NOT(ISBLANK(схема!K66)),CONCATENATE(VLOOKUP(схема!K66,идент!$A$2:$B$215,2)," "),"")</f>
      </c>
      <c r="E56" s="161">
        <f>IF(NOT(ISBLANK(схема!L66)),CONCATENATE(VLOOKUP(схема!L66,идент!$A$2:$B$215,2),""),"")</f>
      </c>
    </row>
    <row r="57" spans="1:5" ht="48" customHeight="1">
      <c r="A57" s="311"/>
      <c r="B57" s="7">
        <f>B55+1</f>
        <v>5</v>
      </c>
      <c r="C57" s="277"/>
      <c r="D57" s="278"/>
      <c r="E57" s="153"/>
    </row>
    <row r="58" spans="1:5" ht="24.75" customHeight="1">
      <c r="A58" s="311"/>
      <c r="B58" s="9" t="str">
        <f>VLOOKUP(B57,служ!$A$7:$B$15,2)</f>
        <v>15:00-16:20</v>
      </c>
      <c r="C58" s="275">
        <f>IF(NOT(ISBLANK(схема!I68)),CONCATENATE(VLOOKUP(схема!I68,идент!$A$2:$B$215,2),""),"")</f>
      </c>
      <c r="D58" s="276">
        <f>IF(NOT(ISBLANK(схема!K68)),CONCATENATE(VLOOKUP(схема!K68,идент!$A$2:$B$215,2)," "),"")</f>
      </c>
      <c r="E58" s="161">
        <f>IF(NOT(ISBLANK(схема!L68)),CONCATENATE(VLOOKUP(схема!L68,идент!$A$2:$B$215,2),""),"")</f>
      </c>
    </row>
    <row r="59" spans="1:5" ht="39" customHeight="1">
      <c r="A59" s="311"/>
      <c r="B59" s="69">
        <v>6</v>
      </c>
      <c r="C59" s="277"/>
      <c r="D59" s="278"/>
      <c r="E59" s="153"/>
    </row>
    <row r="60" spans="1:5" ht="15.75">
      <c r="A60" s="311"/>
      <c r="B60" s="9" t="str">
        <f>VLOOKUP(B59,служ!$A$7:$B$15,2)</f>
        <v>16:40-18:00</v>
      </c>
      <c r="C60" s="275">
        <f>IF(NOT(ISBLANK(схема!I70)),CONCATENATE(VLOOKUP(схема!I70,идент!$A$2:$B$215,2),""),"")</f>
      </c>
      <c r="D60" s="276">
        <f>IF(NOT(ISBLANK(схема!K70)),CONCATENATE(VLOOKUP(схема!K70,идент!$A$2:$B$215,2),""),"")</f>
      </c>
      <c r="E60" s="161">
        <f>IF(NOT(ISBLANK(схема!L70)),CONCATENATE(VLOOKUP(схема!L70,идент!$A$2:$B$215,2),""),"")</f>
      </c>
    </row>
    <row r="61" spans="1:5" ht="36.75" customHeight="1">
      <c r="A61" s="311"/>
      <c r="B61" s="7">
        <v>7</v>
      </c>
      <c r="C61" s="277"/>
      <c r="D61" s="278"/>
      <c r="E61" s="153"/>
    </row>
    <row r="62" spans="1:5" ht="22.5" customHeight="1">
      <c r="A62" s="311"/>
      <c r="B62" s="9" t="str">
        <f>VLOOKUP(B61,служ!$A$7:$B$15,2)</f>
        <v>18:20-19:40</v>
      </c>
      <c r="C62" s="275">
        <f>IF(NOT(ISBLANK(схема!I72)),CONCATENATE(VLOOKUP(схема!I72,идент!$A$2:$B$215,2),""),"")</f>
      </c>
      <c r="D62" s="276">
        <f>C62</f>
      </c>
      <c r="E62" s="161">
        <f>IF(NOT(ISBLANK(схема!L72)),CONCATENATE(VLOOKUP(схема!L72,идент!$A$2:$B$215,2),""),"")</f>
      </c>
    </row>
    <row r="63" spans="1:5" ht="48" customHeight="1">
      <c r="A63" s="311"/>
      <c r="B63" s="7">
        <f>B61+1</f>
        <v>8</v>
      </c>
      <c r="C63" s="277"/>
      <c r="D63" s="278"/>
      <c r="E63" s="153"/>
    </row>
    <row r="64" spans="1:5" ht="21.75" customHeight="1" thickBot="1">
      <c r="A64" s="312"/>
      <c r="B64" s="11" t="str">
        <f>VLOOKUP(B63,служ!$A$7:$B$15,2)</f>
        <v>20:10-21:30</v>
      </c>
      <c r="C64" s="281">
        <f>IF(NOT(ISBLANK(схема!I74)),CONCATENATE(VLOOKUP(схема!I74,идент!$A$2:$B$215,2),""),"")</f>
      </c>
      <c r="D64" s="302">
        <f>C64</f>
      </c>
      <c r="E64" s="164">
        <f>IF(NOT(ISBLANK(схема!L74)),CONCATENATE(VLOOKUP(схема!L74,идент!$A$2:$B$215,2)," "),"")</f>
      </c>
    </row>
    <row r="65" spans="1:5" ht="27.75" customHeight="1">
      <c r="A65" s="197" t="s">
        <v>6</v>
      </c>
      <c r="B65" s="193">
        <v>1</v>
      </c>
      <c r="C65" s="157"/>
      <c r="D65" s="158"/>
      <c r="E65" s="162"/>
    </row>
    <row r="66" spans="1:5" ht="5.25" customHeight="1">
      <c r="A66" s="194"/>
      <c r="B66" s="9" t="s">
        <v>84</v>
      </c>
      <c r="C66" s="160">
        <f>IF(NOT(ISBLANK(схема!I78)),CONCATENATE(VLOOKUP(схема!I78,идент!$A$2:$B$250,2)," (ауд. 512, к.3)"),"")</f>
      </c>
      <c r="D66" s="163">
        <f>IF(NOT(ISBLANK(схема!K78)),CONCATENATE(VLOOKUP(схема!K78,идент!$A$2:$B$250,2)," (ауд. 512, к.3)"),"")</f>
      </c>
      <c r="E66" s="161">
        <f>IF(NOT(ISBLANK(схема!L78)),CONCATENATE(VLOOKUP(схема!L78,идент!$A$2:$B$250,2)," (ауд. 512, к.3)"),"")</f>
      </c>
    </row>
    <row r="67" spans="1:5" ht="5.25" customHeight="1">
      <c r="A67" s="288">
        <f>A51+1</f>
        <v>44463</v>
      </c>
      <c r="B67" s="7">
        <v>2</v>
      </c>
      <c r="C67" s="150"/>
      <c r="D67" s="151"/>
      <c r="E67" s="153"/>
    </row>
    <row r="68" spans="1:5" ht="5.25" customHeight="1">
      <c r="A68" s="309"/>
      <c r="B68" s="9" t="str">
        <f>VLOOKUP(B67,служ!$A$7:$B$15,2)</f>
        <v> 9:40-11:00</v>
      </c>
      <c r="C68" s="160">
        <f>IF(NOT(ISBLANK(схема!I80)),CONCATENATE(VLOOKUP(схема!I80,идент!$A$2:$B$250,2)," (ауд. 512, к.3)"),"")</f>
      </c>
      <c r="D68" s="163">
        <f>IF(NOT(ISBLANK(схема!K80)),CONCATENATE(VLOOKUP(схема!K80,идент!$A$2:$B$250,2)," (ауд. 512, к.3)"),"")</f>
      </c>
      <c r="E68" s="161">
        <f>IF(NOT(ISBLANK(схема!L80)),CONCATENATE(VLOOKUP(схема!L80,идент!$A$2:$B$250,2)," (ауд. 401, к.1)"),"")</f>
      </c>
    </row>
    <row r="69" spans="1:5" ht="11.25" customHeight="1">
      <c r="A69" s="309"/>
      <c r="B69" s="7">
        <f>B67+1</f>
        <v>3</v>
      </c>
      <c r="C69" s="150"/>
      <c r="D69" s="180"/>
      <c r="E69" s="153"/>
    </row>
    <row r="70" spans="1:5" ht="11.25" customHeight="1">
      <c r="A70" s="309"/>
      <c r="B70" s="9" t="str">
        <f>VLOOKUP(B69,служ!$A$7:$B$15,2)</f>
        <v>11:30-12:50</v>
      </c>
      <c r="C70" s="160"/>
      <c r="D70" s="141"/>
      <c r="E70" s="161">
        <f>IF(NOT(ISBLANK(схема!L82)),CONCATENATE(VLOOKUP(схема!L82,идент!$A$2:$B$250,2)," (ауд. 309, к.2)"),"")</f>
      </c>
    </row>
    <row r="71" spans="1:5" ht="11.25" customHeight="1">
      <c r="A71" s="309"/>
      <c r="B71" s="7">
        <f>B69+1</f>
        <v>4</v>
      </c>
      <c r="C71" s="150"/>
      <c r="D71" s="166"/>
      <c r="E71" s="153"/>
    </row>
    <row r="72" spans="1:5" ht="11.25" customHeight="1">
      <c r="A72" s="309"/>
      <c r="B72" s="9" t="str">
        <f>VLOOKUP(B71,служ!$A$7:$B$15,2)</f>
        <v>13:10-14:30</v>
      </c>
      <c r="C72" s="160">
        <f>IF(NOT(ISBLANK(схема!I84)),CONCATENATE(VLOOKUP(схема!I84,идент!$A$2:$B$250,2)," (ауд. 312, к.2)"),"")</f>
      </c>
      <c r="D72" s="163">
        <f>IF(NOT(ISBLANK(схема!K84)),CONCATENATE(VLOOKUP(схема!K84,идент!$A$2:$B$250,2)," "),"")</f>
      </c>
      <c r="E72" s="161">
        <f>IF(NOT(ISBLANK(схема!L84)),CONCATENATE(VLOOKUP(схема!L84,идент!$A$2:$B$250,2)," (ауд. 309, к.2)"),"")</f>
      </c>
    </row>
    <row r="73" spans="1:5" ht="50.25" customHeight="1">
      <c r="A73" s="309"/>
      <c r="B73" s="7">
        <f>B71+1</f>
        <v>5</v>
      </c>
      <c r="C73" s="150"/>
      <c r="D73" s="151"/>
      <c r="E73" s="152"/>
    </row>
    <row r="74" spans="1:5" ht="15.75">
      <c r="A74" s="309"/>
      <c r="B74" s="9" t="str">
        <f>VLOOKUP(B73,служ!$A$7:$B$15,2)</f>
        <v>15:00-16:20</v>
      </c>
      <c r="C74" s="160">
        <f>IF(NOT(ISBLANK(схема!I86)),CONCATENATE(VLOOKUP(схема!I86,идент!$A$2:$B$250,2)," (ауд. 110, к.3) "),"")</f>
      </c>
      <c r="D74" s="163">
        <f>IF(NOT(ISBLANK(схема!K86)),CONCATENATE(VLOOKUP(схема!K86,идент!$A$2:$B$250,2)," "),"")</f>
      </c>
      <c r="E74" s="161">
        <f>IF(NOT(ISBLANK(схема!L86)),CONCATENATE(VLOOKUP(схема!L86,идент!$A$2:$B$250,2),""),"")</f>
      </c>
    </row>
    <row r="75" spans="1:5" ht="18.75">
      <c r="A75" s="309"/>
      <c r="B75" s="7">
        <f>B73+1</f>
        <v>6</v>
      </c>
      <c r="C75" s="150"/>
      <c r="D75" s="151"/>
      <c r="E75" s="152"/>
    </row>
    <row r="76" spans="1:5" ht="25.5" customHeight="1">
      <c r="A76" s="309"/>
      <c r="B76" s="9" t="str">
        <f>VLOOKUP(B75,служ!$A$7:$B$15,2)</f>
        <v>16:40-18:00</v>
      </c>
      <c r="C76" s="160">
        <f>IF(NOT(ISBLANK(схема!I88)),CONCATENATE(VLOOKUP(схема!I88,идент!$A$2:$B$250,2)," (ауд. 110, к.3) "),"")</f>
      </c>
      <c r="D76" s="163">
        <f>IF(NOT(ISBLANK(схема!K88)),CONCATENATE(VLOOKUP(схема!K88,идент!$A$2:$B$250,2)," "),"")</f>
      </c>
      <c r="E76" s="161">
        <f>IF(NOT(ISBLANK(схема!L88)),CONCATENATE(VLOOKUP(схема!L88,идент!$A$2:$B$250,2),""),"")</f>
      </c>
    </row>
    <row r="77" spans="1:5" ht="18.75">
      <c r="A77" s="309"/>
      <c r="B77" s="7">
        <f>B75+1</f>
        <v>7</v>
      </c>
      <c r="C77" s="277"/>
      <c r="D77" s="278"/>
      <c r="E77" s="153"/>
    </row>
    <row r="78" spans="1:5" ht="21.75" customHeight="1">
      <c r="A78" s="309"/>
      <c r="B78" s="9" t="str">
        <f>VLOOKUP(B77,служ!$A$7:$B$15,2)</f>
        <v>18:20-19:40</v>
      </c>
      <c r="C78" s="275">
        <f>IF(NOT(ISBLANK(схема!I90)),CONCATENATE(VLOOKUP(схема!I90,идент!$A$2:$B$250,2),""),"")</f>
      </c>
      <c r="D78" s="276">
        <f>IF(NOT(ISBLANK(схема!K90)),CONCATENATE(VLOOKUP(схема!K90,идент!$A$2:$B$250,2)," (ауд.307, к.2)"),"")</f>
      </c>
      <c r="E78" s="161">
        <f>IF(NOT(ISBLANK(схема!L90)),CONCATENATE(VLOOKUP(схема!L90,идент!$A$2:$B$250,2)," "),"")</f>
      </c>
    </row>
    <row r="79" spans="1:5" ht="18.75">
      <c r="A79" s="309"/>
      <c r="B79" s="7">
        <f>B77+1</f>
        <v>8</v>
      </c>
      <c r="C79" s="277"/>
      <c r="D79" s="278"/>
      <c r="E79" s="153"/>
    </row>
    <row r="80" spans="1:5" ht="26.25" customHeight="1" thickBot="1">
      <c r="A80" s="310"/>
      <c r="B80" s="11" t="str">
        <f>VLOOKUP(B79,служ!$A$7:$B$15,2)</f>
        <v>20:10-21:30</v>
      </c>
      <c r="C80" s="281">
        <f>IF(NOT(ISBLANK(схема!I92)),CONCATENATE(VLOOKUP(схема!I92,идент!$A$2:$B$250,2),""),"")</f>
      </c>
      <c r="D80" s="302">
        <f>IF(NOT(ISBLANK(схема!K92)),CONCATENATE(VLOOKUP(схема!K92,идент!$A$2:$B$250,2)," (ауд.307, к.2)"),"")</f>
      </c>
      <c r="E80" s="164">
        <f>IF(NOT(ISBLANK(схема!L92)),CONCATENATE(VLOOKUP(схема!L92,идент!$A$2:$B$250,2)," "),"")</f>
      </c>
    </row>
    <row r="81" spans="1:5" ht="27.75">
      <c r="A81" s="90" t="s">
        <v>7</v>
      </c>
      <c r="B81" s="51">
        <v>1</v>
      </c>
      <c r="C81" s="157"/>
      <c r="D81" s="151"/>
      <c r="E81" s="162"/>
    </row>
    <row r="82" spans="1:5" ht="18.75" customHeight="1">
      <c r="A82" s="287">
        <f>A67+1</f>
        <v>44464</v>
      </c>
      <c r="B82" s="9" t="str">
        <f>VLOOKUP(B81,служ!$D$7:$E$10,2)</f>
        <v> 9:10-10:30</v>
      </c>
      <c r="C82" s="160">
        <f>IF(NOT(ISBLANK(схема!I96)),CONCATENATE(VLOOKUP(схема!I96,идент!$A$2:$B$250,2),""),"")</f>
      </c>
      <c r="D82" s="163">
        <f>IF(NOT(ISBLANK(схема!K96)),CONCATENATE(VLOOKUP(схема!K96,идент!$A$2:$B$250,2),""),"")</f>
      </c>
      <c r="E82" s="161">
        <f>IF(NOT(ISBLANK(схема!L96)),CONCATENATE(VLOOKUP(схема!L96,идент!$A$2:$B$250,2)," "),"")</f>
      </c>
    </row>
    <row r="83" spans="1:5" ht="18.75" customHeight="1">
      <c r="A83" s="288"/>
      <c r="B83" s="7">
        <f>B81+1</f>
        <v>2</v>
      </c>
      <c r="C83" s="150"/>
      <c r="D83" s="151"/>
      <c r="E83" s="153"/>
    </row>
    <row r="84" spans="1:5" ht="18.75" customHeight="1">
      <c r="A84" s="288"/>
      <c r="B84" s="9" t="str">
        <f>VLOOKUP(B83,служ!$D$7:$E$10,2)</f>
        <v>10:40-12:00</v>
      </c>
      <c r="C84" s="160">
        <f>IF(NOT(ISBLANK(схема!I98)),CONCATENATE(VLOOKUP(схема!I98,идент!$A$2:$B$250,2),""),"")</f>
      </c>
      <c r="D84" s="163">
        <f>IF(NOT(ISBLANK(схема!K98)),CONCATENATE(VLOOKUP(схема!K98,идент!$A$2:$B$250,2),""),"")</f>
      </c>
      <c r="E84" s="161">
        <f>IF(NOT(ISBLANK(схема!L98)),CONCATENATE(VLOOKUP(схема!L98,идент!$A$2:$B$250,2)," "),"")</f>
      </c>
    </row>
    <row r="85" spans="1:5" ht="18.75" customHeight="1">
      <c r="A85" s="288"/>
      <c r="B85" s="7">
        <f>B83+1</f>
        <v>3</v>
      </c>
      <c r="C85" s="150"/>
      <c r="D85" s="211"/>
      <c r="E85" s="153"/>
    </row>
    <row r="86" spans="1:5" ht="18.75" customHeight="1">
      <c r="A86" s="288"/>
      <c r="B86" s="9" t="str">
        <f>VLOOKUP(B85,служ!$D$7:$E$10,2)</f>
        <v>12:40-14:00</v>
      </c>
      <c r="C86" s="160">
        <f>IF(NOT(ISBLANK(схема!I100)),CONCATENATE(VLOOKUP(схема!I100,идент!$A$2:$B$250,2),""),"")</f>
      </c>
      <c r="D86" s="217"/>
      <c r="E86" s="161">
        <f>IF(NOT(ISBLANK(схема!L100)),CONCATENATE(VLOOKUP(схема!L100,идент!$A$2:$B$250,2)," "),"")</f>
      </c>
    </row>
    <row r="87" spans="1:5" ht="18.75" customHeight="1">
      <c r="A87" s="288"/>
      <c r="B87" s="7">
        <f>B85+1</f>
        <v>4</v>
      </c>
      <c r="C87" s="277"/>
      <c r="D87" s="278"/>
      <c r="E87" s="153"/>
    </row>
    <row r="88" spans="1:5" ht="18.75" customHeight="1">
      <c r="A88" s="288"/>
      <c r="B88" s="9" t="str">
        <f>VLOOKUP(B87,служ!$D$7:$E$14,2)</f>
        <v>14:10-15:30</v>
      </c>
      <c r="C88" s="275">
        <f>IF(NOT(ISBLANK(схема!I102)),CONCATENATE(VLOOKUP(схема!I102,идент!$A$2:$B$250,2)," "),"")</f>
      </c>
      <c r="D88" s="276"/>
      <c r="E88" s="161">
        <f>IF(NOT(ISBLANK(схема!L102)),CONCATENATE(VLOOKUP(схема!L102,идент!$A$2:$B$250,2)," "),"")</f>
      </c>
    </row>
    <row r="89" spans="1:5" ht="18.75" customHeight="1">
      <c r="A89" s="288"/>
      <c r="B89" s="7">
        <f>B87+1</f>
        <v>5</v>
      </c>
      <c r="C89" s="277"/>
      <c r="D89" s="278"/>
      <c r="E89" s="152"/>
    </row>
    <row r="90" spans="1:5" ht="18.75" customHeight="1">
      <c r="A90" s="288"/>
      <c r="B90" s="9" t="str">
        <f>VLOOKUP(B89,служ!$D$7:$E$14,2)</f>
        <v>15:40-17:00</v>
      </c>
      <c r="C90" s="275">
        <f>IF(NOT(ISBLANK(схема!I104)),CONCATENATE(VLOOKUP(схема!I104,идент!$A$2:$B$250,2)," "),"")</f>
      </c>
      <c r="D90" s="276"/>
      <c r="E90" s="161"/>
    </row>
    <row r="91" spans="1:5" ht="18.75" customHeight="1">
      <c r="A91" s="288"/>
      <c r="B91" s="7">
        <f>B89+1</f>
        <v>6</v>
      </c>
      <c r="C91" s="150"/>
      <c r="D91" s="213"/>
      <c r="E91" s="152"/>
    </row>
    <row r="92" spans="1:5" ht="18.75" customHeight="1" thickBot="1">
      <c r="A92" s="289"/>
      <c r="B92" s="11" t="str">
        <f>VLOOKUP(B91,служ!$D$7:$E$14,2)</f>
        <v>17:10-18:30</v>
      </c>
      <c r="C92" s="139"/>
      <c r="D92" s="215"/>
      <c r="E92" s="161">
        <f>IF(NOT(ISBLANK(схема!L106)),CONCATENATE(VLOOKUP(схема!L106,идент!$A$2:$B$250,2)," "),"")</f>
      </c>
    </row>
    <row r="93" spans="1:5" ht="30.75" customHeight="1">
      <c r="A93" s="90" t="s">
        <v>8</v>
      </c>
      <c r="B93" s="51">
        <v>1</v>
      </c>
      <c r="C93" s="313"/>
      <c r="D93" s="314"/>
      <c r="E93" s="159"/>
    </row>
    <row r="94" spans="1:5" ht="18" customHeight="1">
      <c r="A94" s="287">
        <f>A82+1</f>
        <v>44465</v>
      </c>
      <c r="B94" s="9" t="str">
        <f>VLOOKUP(B93,служ!$D$7:$E$10,2)</f>
        <v> 9:10-10:30</v>
      </c>
      <c r="C94" s="275">
        <f>IF(NOT(ISBLANK(схема!I108)),CONCATENATE(VLOOKUP(схема!I108,идент!$A$2:$B$250,2)," "),"")</f>
      </c>
      <c r="D94" s="276"/>
      <c r="E94" s="161">
        <f>IF(NOT(ISBLANK(схема!L108)),CONCATENATE(VLOOKUP(схема!L108,идент!$A$2:$B$250,2)," "),"")</f>
      </c>
    </row>
    <row r="95" spans="1:5" ht="18" customHeight="1">
      <c r="A95" s="303"/>
      <c r="B95" s="7">
        <f>B93+1</f>
        <v>2</v>
      </c>
      <c r="C95" s="277"/>
      <c r="D95" s="278"/>
      <c r="E95" s="152"/>
    </row>
    <row r="96" spans="1:5" ht="18" customHeight="1">
      <c r="A96" s="303"/>
      <c r="B96" s="9" t="str">
        <f>VLOOKUP(B95,служ!$D$7:$E$10,2)</f>
        <v>10:40-12:00</v>
      </c>
      <c r="C96" s="275">
        <f>IF(NOT(ISBLANK(схема!I110)),CONCATENATE(VLOOKUP(схема!I110,идент!$A$2:$B$250,2)," "),"")</f>
      </c>
      <c r="D96" s="276"/>
      <c r="E96" s="161">
        <f>IF(NOT(ISBLANK(схема!L110)),CONCATENATE(VLOOKUP(схема!L110,идент!$A$2:$B$250,2)," "),"")</f>
      </c>
    </row>
    <row r="97" spans="1:5" ht="18" customHeight="1">
      <c r="A97" s="303"/>
      <c r="B97" s="7">
        <f>B95+1</f>
        <v>3</v>
      </c>
      <c r="C97" s="277"/>
      <c r="D97" s="278"/>
      <c r="E97" s="152"/>
    </row>
    <row r="98" spans="1:5" ht="18" customHeight="1">
      <c r="A98" s="303"/>
      <c r="B98" s="9" t="str">
        <f>VLOOKUP(B97,служ!$F$7:$G$12,2)</f>
        <v>12:30-13:50</v>
      </c>
      <c r="C98" s="275">
        <f>IF(NOT(ISBLANK(схема!I112)),CONCATENATE(VLOOKUP(схема!I112,идент!$A$2:$B$250,2)," "),"")</f>
      </c>
      <c r="D98" s="276"/>
      <c r="E98" s="161">
        <f>IF(NOT(ISBLANK(схема!L112)),CONCATENATE(VLOOKUP(схема!L112,идент!$A$2:$B$250,2)," "),"")</f>
      </c>
    </row>
    <row r="99" spans="1:5" ht="18" customHeight="1">
      <c r="A99" s="303"/>
      <c r="B99" s="7">
        <f>B97+1</f>
        <v>4</v>
      </c>
      <c r="C99" s="277"/>
      <c r="D99" s="278"/>
      <c r="E99" s="152"/>
    </row>
    <row r="100" spans="1:5" ht="18" customHeight="1">
      <c r="A100" s="303"/>
      <c r="B100" s="9" t="str">
        <f>VLOOKUP(B99,служ!$F$7:$G$12,2)</f>
        <v>14:00-15:20</v>
      </c>
      <c r="C100" s="275">
        <f>IF(NOT(ISBLANK(схема!I114)),CONCATENATE(VLOOKUP(схема!I114,идент!$A$2:$B$250,2)," "),"")</f>
      </c>
      <c r="D100" s="276"/>
      <c r="E100" s="161">
        <f>IF(NOT(ISBLANK(схема!L114)),CONCATENATE(VLOOKUP(схема!L114,идент!$A$2:$B$250,2)," "),"")</f>
      </c>
    </row>
    <row r="101" spans="1:5" ht="18" customHeight="1">
      <c r="A101" s="303"/>
      <c r="B101" s="7">
        <f>B99+1</f>
        <v>5</v>
      </c>
      <c r="C101" s="154"/>
      <c r="D101" s="151"/>
      <c r="E101" s="152"/>
    </row>
    <row r="102" spans="1:5" ht="18" customHeight="1">
      <c r="A102" s="303"/>
      <c r="B102" s="9" t="str">
        <f>VLOOKUP(B101,служ!$F$7:$G$12,2)</f>
        <v>15:30-16:50</v>
      </c>
      <c r="C102" s="160">
        <f>IF(NOT(ISBLANK(схема!I116)),CONCATENATE(VLOOKUP(схема!I116,идент!$A$2:$B$250,2)," "),"")</f>
      </c>
      <c r="D102" s="163"/>
      <c r="E102" s="161">
        <f>IF(NOT(ISBLANK(схема!L116)),CONCATENATE(VLOOKUP(схема!L116,идент!$A$2:$B$250,2)," "),"")</f>
      </c>
    </row>
    <row r="103" spans="1:5" ht="18" customHeight="1">
      <c r="A103" s="303"/>
      <c r="B103" s="7">
        <f>B101+1</f>
        <v>6</v>
      </c>
      <c r="C103" s="150"/>
      <c r="D103" s="151"/>
      <c r="E103" s="152"/>
    </row>
    <row r="104" spans="1:5" ht="18" customHeight="1" thickBot="1">
      <c r="A104" s="304"/>
      <c r="B104" s="11" t="str">
        <f>VLOOKUP(B103,служ!$F$7:$G$12,2)</f>
        <v>17:00-18:20</v>
      </c>
      <c r="C104" s="214">
        <f>IF(NOT(ISBLANK(схема!I118)),CONCATENATE(VLOOKUP(схема!I118,идент!$A$2:$B$152,2)," (ауд. 304, к.2)"),"")</f>
      </c>
      <c r="D104" s="204">
        <f>C104</f>
      </c>
      <c r="E104" s="164">
        <f>IF(NOT(ISBLANK(схема!L118)),CONCATENATE(VLOOKUP(схема!L118,идент!$A$2:$B$250,2)," "),"")</f>
      </c>
    </row>
    <row r="105" spans="1:6" ht="27.75" customHeight="1">
      <c r="A105" s="12"/>
      <c r="B105" s="130">
        <v>44427</v>
      </c>
      <c r="C105" s="13"/>
      <c r="D105" s="13"/>
      <c r="E105" s="13"/>
      <c r="F105" s="13"/>
    </row>
    <row r="107" ht="3" customHeight="1"/>
  </sheetData>
  <sheetProtection/>
  <mergeCells count="48">
    <mergeCell ref="C57:D57"/>
    <mergeCell ref="C58:D58"/>
    <mergeCell ref="C59:D59"/>
    <mergeCell ref="C60:D60"/>
    <mergeCell ref="C97:D97"/>
    <mergeCell ref="C98:D98"/>
    <mergeCell ref="C94:D94"/>
    <mergeCell ref="C95:D95"/>
    <mergeCell ref="C96:D96"/>
    <mergeCell ref="C77:D77"/>
    <mergeCell ref="C79:D79"/>
    <mergeCell ref="C80:D80"/>
    <mergeCell ref="C87:D87"/>
    <mergeCell ref="C100:D100"/>
    <mergeCell ref="C89:D89"/>
    <mergeCell ref="C90:D90"/>
    <mergeCell ref="C93:D93"/>
    <mergeCell ref="C99:D99"/>
    <mergeCell ref="C32:D32"/>
    <mergeCell ref="C33:D33"/>
    <mergeCell ref="C34:D34"/>
    <mergeCell ref="C35:D35"/>
    <mergeCell ref="C88:D88"/>
    <mergeCell ref="C47:D47"/>
    <mergeCell ref="C48:D48"/>
    <mergeCell ref="C49:D49"/>
    <mergeCell ref="C61:D61"/>
    <mergeCell ref="C78:D78"/>
    <mergeCell ref="A94:A104"/>
    <mergeCell ref="A82:A92"/>
    <mergeCell ref="A37:A49"/>
    <mergeCell ref="D54:E54"/>
    <mergeCell ref="D53:E53"/>
    <mergeCell ref="A67:A80"/>
    <mergeCell ref="A51:A64"/>
    <mergeCell ref="C62:D62"/>
    <mergeCell ref="C63:D63"/>
    <mergeCell ref="C64:D64"/>
    <mergeCell ref="C46:D46"/>
    <mergeCell ref="C1:E1"/>
    <mergeCell ref="C2:E2"/>
    <mergeCell ref="C4:D4"/>
    <mergeCell ref="A7:A20"/>
    <mergeCell ref="A22:A35"/>
    <mergeCell ref="C17:D17"/>
    <mergeCell ref="C18:D18"/>
    <mergeCell ref="C19:D19"/>
    <mergeCell ref="C20:D20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55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70" zoomScaleNormal="6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5" width="52.6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54.75" customHeight="1">
      <c r="A1" s="1"/>
      <c r="B1" s="2"/>
      <c r="C1" s="295" t="str">
        <f>'1 нед'!C1:E1</f>
        <v>РАСПИСАНИЕ ЗАНЯТИЙ и ЭКЗАМЕНОВ
заочное отделение гр. 18з                                                       </v>
      </c>
      <c r="D1" s="295"/>
      <c r="E1" s="296"/>
    </row>
    <row r="2" spans="1:5" ht="29.25" customHeight="1">
      <c r="A2" s="3"/>
      <c r="B2" s="4"/>
      <c r="C2" s="297" t="str">
        <f>'1 нед'!C2:E2</f>
        <v>сессия с 13.09.2021 по 19.09.2021</v>
      </c>
      <c r="D2" s="297"/>
      <c r="E2" s="298"/>
    </row>
    <row r="3" spans="1:5" ht="23.25" customHeight="1">
      <c r="A3" s="3"/>
      <c r="B3" s="4"/>
      <c r="C3" s="247" t="s">
        <v>57</v>
      </c>
      <c r="D3" s="247"/>
      <c r="E3" s="120"/>
    </row>
    <row r="4" spans="1:5" ht="28.5" customHeight="1" thickBot="1">
      <c r="A4" s="3"/>
      <c r="B4" s="3"/>
      <c r="C4" s="299" t="s">
        <v>282</v>
      </c>
      <c r="D4" s="299"/>
      <c r="E4" s="92"/>
    </row>
    <row r="5" spans="1:5" ht="45.75" customHeight="1" thickBot="1">
      <c r="A5" s="15" t="s">
        <v>0</v>
      </c>
      <c r="B5" s="6" t="s">
        <v>1</v>
      </c>
      <c r="C5" s="244" t="str">
        <f>'1 нед'!C5</f>
        <v>э-18Уз-1 (16) э-18Уз-2 (16)</v>
      </c>
      <c r="D5" s="244" t="str">
        <f>'2 нед '!D5</f>
        <v>бу-18з (10)</v>
      </c>
      <c r="E5" s="245" t="str">
        <f>'2 нед '!E5</f>
        <v>м-18з (25)</v>
      </c>
    </row>
    <row r="6" spans="1:5" ht="29.25" customHeight="1">
      <c r="A6" s="89" t="s">
        <v>2</v>
      </c>
      <c r="B6" s="85">
        <v>2</v>
      </c>
      <c r="C6" s="333"/>
      <c r="D6" s="334"/>
      <c r="E6" s="335"/>
    </row>
    <row r="7" spans="1:5" ht="6" customHeight="1">
      <c r="A7" s="288">
        <f>'1 нед'!A7:A20+14</f>
        <v>44466</v>
      </c>
      <c r="B7" s="9" t="str">
        <f>VLOOKUP(B6,служ!$A$7:$B$15,2)</f>
        <v> 9:40-11:00</v>
      </c>
      <c r="C7" s="67">
        <f>IF(NOT(ISBLANK(схема!O8)),CONCATENATE(VLOOKUP(схема!O8,идент!$A$2:$B$134,2)," (ауд. 407, к.1)"),"")</f>
      </c>
      <c r="D7" s="67"/>
      <c r="E7" s="122"/>
    </row>
    <row r="8" spans="1:5" ht="40.5" customHeight="1">
      <c r="A8" s="288"/>
      <c r="B8" s="7">
        <v>2</v>
      </c>
      <c r="C8" s="169"/>
      <c r="D8" s="211"/>
      <c r="E8" s="152"/>
    </row>
    <row r="9" spans="1:5" ht="24" customHeight="1">
      <c r="A9" s="288"/>
      <c r="B9" s="9" t="str">
        <f>VLOOKUP(B8,служ!$A$7:$B$15,2)</f>
        <v> 9:40-11:00</v>
      </c>
      <c r="C9" s="10">
        <f>IF(NOT(ISBLANK(схема!O8)),CONCATENATE(VLOOKUP(схема!O8,идент!$A$2:$B$250,2)," (ауд. 215, к.4)"),"")</f>
      </c>
      <c r="D9" s="217">
        <f>IF(NOT(ISBLANK(схема!Q8)),CONCATENATE(VLOOKUP(схема!Q8,идент!$A$2:$B$250,2)," (ауд. 215, к.4)"),"")</f>
      </c>
      <c r="E9" s="73">
        <f>IF(NOT(ISBLANK(схема!R8)),CONCATENATE(VLOOKUP(схема!R8,идент!$A$2:$B$250,2)," (ауд. 215, к.4)"),"")</f>
      </c>
    </row>
    <row r="10" spans="1:5" ht="16.5" customHeight="1">
      <c r="A10" s="288"/>
      <c r="B10" s="7">
        <f>B6+1</f>
        <v>3</v>
      </c>
      <c r="C10" s="169"/>
      <c r="D10" s="170"/>
      <c r="E10" s="152"/>
    </row>
    <row r="11" spans="1:5" ht="16.5" customHeight="1">
      <c r="A11" s="288"/>
      <c r="B11" s="9" t="str">
        <f>VLOOKUP(B10,служ!$A$7:$B$15,2)</f>
        <v>11:30-12:50</v>
      </c>
      <c r="C11" s="10">
        <f>IF(NOT(ISBLANK(схема!O10)),CONCATENATE(VLOOKUP(схема!O10,идент!$A$2:$B$250,2)," (ауд. 215, к.4)"),"")</f>
      </c>
      <c r="D11" s="141">
        <f>IF(NOT(ISBLANK(схема!Q10)),CONCATENATE(VLOOKUP(схема!Q10,идент!$A$2:$B$250,2)," (ауд. 215, к.4)"),"")</f>
      </c>
      <c r="E11" s="73">
        <f>IF(NOT(ISBLANK(схема!R10)),CONCATENATE(VLOOKUP(схема!R10,идент!$A$2:$B$250,2)," (ауд. 215, к.4)"),"")</f>
      </c>
    </row>
    <row r="12" spans="1:5" ht="18.75">
      <c r="A12" s="288"/>
      <c r="B12" s="7">
        <f>B10+1</f>
        <v>4</v>
      </c>
      <c r="C12" s="277"/>
      <c r="D12" s="278"/>
      <c r="E12" s="152"/>
    </row>
    <row r="13" spans="1:5" ht="21" customHeight="1">
      <c r="A13" s="288"/>
      <c r="B13" s="9" t="str">
        <f>VLOOKUP(B12,служ!$A$7:$B$15,2)</f>
        <v>13:10-14:30</v>
      </c>
      <c r="C13" s="275">
        <f>IF(NOT(ISBLANK(схема!O12)),CONCATENATE(VLOOKUP(схема!O12,идент!$A$2:$B$250,2)," "),"")</f>
      </c>
      <c r="D13" s="276"/>
      <c r="E13" s="161">
        <f>IF(NOT(ISBLANK(схема!R12)),CONCATENATE(VLOOKUP(схема!R12,идент!$A$2:$B$250,2),""),"")</f>
      </c>
    </row>
    <row r="14" spans="1:5" ht="30.75" customHeight="1">
      <c r="A14" s="288"/>
      <c r="B14" s="7">
        <f>B12+1</f>
        <v>5</v>
      </c>
      <c r="C14" s="277"/>
      <c r="D14" s="278"/>
      <c r="E14" s="152"/>
    </row>
    <row r="15" spans="1:5" ht="24" customHeight="1">
      <c r="A15" s="288"/>
      <c r="B15" s="9" t="str">
        <f>VLOOKUP(B14,служ!$A$7:$B$15,2)</f>
        <v>15:00-16:20</v>
      </c>
      <c r="C15" s="275">
        <f>IF(NOT(ISBLANK(схема!O14)),CONCATENATE(VLOOKUP(схема!O14,идент!$A$2:$B$250,2)," "),"")</f>
      </c>
      <c r="D15" s="276"/>
      <c r="E15" s="161">
        <f>IF(NOT(ISBLANK(схема!R14)),CONCATENATE(VLOOKUP(схема!R14,идент!$A$2:$B$250,2),""),"")</f>
      </c>
    </row>
    <row r="16" spans="1:5" ht="37.5" customHeight="1">
      <c r="A16" s="288"/>
      <c r="B16" s="7">
        <f>B14+1</f>
        <v>6</v>
      </c>
      <c r="C16" s="150"/>
      <c r="D16" s="213"/>
      <c r="E16" s="201"/>
    </row>
    <row r="17" spans="1:5" ht="21" customHeight="1">
      <c r="A17" s="288"/>
      <c r="B17" s="9" t="str">
        <f>VLOOKUP(B16,служ!$A$7:$B$15,2)</f>
        <v>16:40-18:00</v>
      </c>
      <c r="C17" s="10">
        <f>IF(NOT(ISBLANK(схема!O16)),CONCATENATE(VLOOKUP(схема!O16,идент!$A$2:$B$250,2)," (ауд. 115, к.2)"),"")</f>
      </c>
      <c r="D17" s="217"/>
      <c r="E17" s="161">
        <f>IF(NOT(ISBLANK(схема!R16)),CONCATENATE(VLOOKUP(схема!R16,идент!$A$2:$B$250,2),""),"")</f>
      </c>
    </row>
    <row r="18" spans="1:5" ht="18.75">
      <c r="A18" s="288"/>
      <c r="B18" s="7">
        <f>B16+1</f>
        <v>7</v>
      </c>
      <c r="C18" s="150"/>
      <c r="D18" s="151"/>
      <c r="E18" s="153"/>
    </row>
    <row r="19" spans="1:5" ht="22.5" customHeight="1">
      <c r="A19" s="288"/>
      <c r="B19" s="9" t="str">
        <f>VLOOKUP(B18,служ!$A$7:$B$15,2)</f>
        <v>18:20-19:40</v>
      </c>
      <c r="C19" s="160">
        <f>IF(NOT(ISBLANK(схема!O18)),CONCATENATE(VLOOKUP(схема!O18,идент!$A$2:$B$250,2)," "),"")</f>
      </c>
      <c r="D19" s="163">
        <f>IF(NOT(ISBLANK(схема!Q18)),CONCATENATE(VLOOKUP(схема!Q18,идент!$A$2:$B$250,2)," "),"")</f>
      </c>
      <c r="E19" s="161">
        <f>IF(NOT(ISBLANK(схема!R18)),CONCATENATE(VLOOKUP(схема!R18,идент!$A$2:$B$250,2),""),"")</f>
      </c>
    </row>
    <row r="20" spans="1:5" ht="18.75">
      <c r="A20" s="288"/>
      <c r="B20" s="7">
        <f>B18+1</f>
        <v>8</v>
      </c>
      <c r="C20" s="150"/>
      <c r="D20" s="151"/>
      <c r="E20" s="153"/>
    </row>
    <row r="21" spans="1:5" ht="21.75" customHeight="1" thickBot="1">
      <c r="A21" s="288"/>
      <c r="B21" s="11" t="str">
        <f>VLOOKUP(B20,служ!$A$7:$B$15,2)</f>
        <v>20:10-21:30</v>
      </c>
      <c r="C21" s="160">
        <f>IF(NOT(ISBLANK(схема!O20)),CONCATENATE(VLOOKUP(схема!O20,идент!$A$2:$B$250,2)," "),"")</f>
      </c>
      <c r="D21" s="163">
        <f>IF(NOT(ISBLANK(схема!Q20)),CONCATENATE(VLOOKUP(схема!Q20,идент!$A$2:$B$250,2)," "),"")</f>
      </c>
      <c r="E21" s="161">
        <f>IF(NOT(ISBLANK(схема!R20)),CONCATENATE(VLOOKUP(схема!R20,идент!$A$2:$B$250,2),""),"")</f>
      </c>
    </row>
    <row r="22" spans="1:5" ht="28.5" customHeight="1" hidden="1">
      <c r="A22" s="288"/>
      <c r="B22" s="7">
        <f>B20+1</f>
        <v>9</v>
      </c>
      <c r="C22" s="171"/>
      <c r="D22" s="171"/>
      <c r="E22" s="172"/>
    </row>
    <row r="23" spans="1:5" ht="28.5" customHeight="1" hidden="1" thickBot="1">
      <c r="A23" s="289"/>
      <c r="B23" s="11">
        <f>VLOOKUP(B22,служ!$A$7:$B$15,2)</f>
        <v>0</v>
      </c>
      <c r="C23" s="70">
        <f>IF(NOT(ISBLANK(схема!O22)),CONCATENATE(VLOOKUP(схема!O22,идент!$A$2:$B$134,2)," (ауд. 407, к.1)"),"")</f>
      </c>
      <c r="D23" s="70"/>
      <c r="E23" s="121"/>
    </row>
    <row r="24" spans="1:5" ht="28.5" customHeight="1">
      <c r="A24" s="89" t="s">
        <v>3</v>
      </c>
      <c r="B24" s="85"/>
      <c r="C24" s="173"/>
      <c r="D24" s="174"/>
      <c r="E24" s="175"/>
    </row>
    <row r="25" spans="1:5" ht="6.75" customHeight="1">
      <c r="A25" s="288">
        <f>A7+1</f>
        <v>44467</v>
      </c>
      <c r="B25" s="7">
        <f>B24+1</f>
        <v>1</v>
      </c>
      <c r="C25" s="176"/>
      <c r="D25" s="176"/>
      <c r="E25" s="177"/>
    </row>
    <row r="26" spans="1:5" ht="6.75" customHeight="1">
      <c r="A26" s="288"/>
      <c r="B26" s="9" t="str">
        <f>VLOOKUP(B25,служ!$A$7:$B$15,2)</f>
        <v> 8:10- 9:30</v>
      </c>
      <c r="C26" s="10">
        <f>IF(NOT(ISBLANK(схема!O24)),CONCATENATE(VLOOKUP(схема!O24,идент!$A$2:$B$160,2)," (ауд. 412, к.1)"),"")</f>
      </c>
      <c r="D26" s="67"/>
      <c r="E26" s="73">
        <f>IF(NOT(ISBLANK(схема!Q24)),CONCATENATE(VLOOKUP(схема!Q24,идент!$A$2:$B$195,2)," (ауд. 407, к.1)"),"")</f>
      </c>
    </row>
    <row r="27" spans="1:5" ht="6.75" customHeight="1">
      <c r="A27" s="288"/>
      <c r="B27" s="7">
        <f>B25+1</f>
        <v>2</v>
      </c>
      <c r="C27" s="169"/>
      <c r="D27" s="170"/>
      <c r="E27" s="152"/>
    </row>
    <row r="28" spans="1:5" ht="6.75" customHeight="1">
      <c r="A28" s="288"/>
      <c r="B28" s="9" t="str">
        <f>VLOOKUP(B27,служ!$A$7:$B$15,2)</f>
        <v> 9:40-11:00</v>
      </c>
      <c r="C28" s="10">
        <f>IF(NOT(ISBLANK(схема!O26)),CONCATENATE(VLOOKUP(схема!O26,идент!$A$2:$B$250,2)," (ауд. 103, к.1)"),"")</f>
      </c>
      <c r="D28" s="141">
        <f>IF(NOT(ISBLANK(схема!Q26)),CONCATENATE(VLOOKUP(схема!Q26,идент!$A$2:$B$250,2)," (ауд. 103, к.1)"),"")</f>
      </c>
      <c r="E28" s="73">
        <f>IF(NOT(ISBLANK(схема!R26)),CONCATENATE(VLOOKUP(схема!R26,идент!$A$2:$B$250,2)," (ауд. 103, к.1)"),"")</f>
      </c>
    </row>
    <row r="29" spans="1:5" ht="18.75">
      <c r="A29" s="288"/>
      <c r="B29" s="7">
        <f>B27+1</f>
        <v>3</v>
      </c>
      <c r="C29" s="150"/>
      <c r="D29" s="319"/>
      <c r="E29" s="320"/>
    </row>
    <row r="30" spans="1:5" ht="18" customHeight="1">
      <c r="A30" s="288"/>
      <c r="B30" s="9" t="str">
        <f>VLOOKUP(B29,служ!$A$7:$B$15,2)</f>
        <v>11:30-12:50</v>
      </c>
      <c r="C30" s="10">
        <f>IF(NOT(ISBLANK(схема!O28)),CONCATENATE(VLOOKUP(схема!O28,идент!$A$2:$B$250,2)," (ауд. 308, к.2)"),"")</f>
      </c>
      <c r="D30" s="305"/>
      <c r="E30" s="306"/>
    </row>
    <row r="31" spans="1:5" ht="15.75">
      <c r="A31" s="288"/>
      <c r="B31" s="69">
        <v>4</v>
      </c>
      <c r="C31" s="150"/>
      <c r="D31" s="170"/>
      <c r="E31" s="153"/>
    </row>
    <row r="32" spans="1:5" ht="25.5" customHeight="1">
      <c r="A32" s="288"/>
      <c r="B32" s="9" t="str">
        <f>VLOOKUP(B31,служ!$A$7:$B$15,2)</f>
        <v>13:10-14:30</v>
      </c>
      <c r="C32" s="10">
        <f>IF(NOT(ISBLANK(схема!O30)),CONCATENATE(VLOOKUP(схема!O30,идент!$A$2:$B$250,2)," (ауд. 308, к.2)"),"")</f>
      </c>
      <c r="D32" s="141"/>
      <c r="E32" s="73">
        <f>IF(NOT(ISBLANK(схема!R30)),CONCATENATE(VLOOKUP(схема!R30,идент!$A$2:$B$250,2),""),"")</f>
      </c>
    </row>
    <row r="33" spans="1:5" ht="15.75">
      <c r="A33" s="288"/>
      <c r="B33" s="69">
        <v>5</v>
      </c>
      <c r="C33" s="150"/>
      <c r="D33" s="211"/>
      <c r="E33" s="153"/>
    </row>
    <row r="34" spans="1:5" ht="21" customHeight="1">
      <c r="A34" s="288"/>
      <c r="B34" s="9" t="str">
        <f>VLOOKUP(B33,служ!$A$7:$B$15,2)</f>
        <v>15:00-16:20</v>
      </c>
      <c r="C34" s="10">
        <f>IF(NOT(ISBLANK(схема!O32)),CONCATENATE(VLOOKUP(схема!O32,идент!$A$2:$B$250,2)," (ауд. 308, к.2)"),"")</f>
      </c>
      <c r="D34" s="217">
        <f>C34</f>
      </c>
      <c r="E34" s="73">
        <f>IF(NOT(ISBLANK(схема!R32)),CONCATENATE(VLOOKUP(схема!R32,идент!$A$2:$B$250,2),""),"")</f>
      </c>
    </row>
    <row r="35" spans="1:5" ht="36.75" customHeight="1">
      <c r="A35" s="288"/>
      <c r="B35" s="7">
        <v>6</v>
      </c>
      <c r="C35" s="150"/>
      <c r="D35" s="211"/>
      <c r="E35" s="153"/>
    </row>
    <row r="36" spans="1:5" ht="19.5" customHeight="1">
      <c r="A36" s="288"/>
      <c r="B36" s="9" t="str">
        <f>VLOOKUP(B35,служ!$A$7:$B$15,2)</f>
        <v>16:40-18:00</v>
      </c>
      <c r="C36" s="10">
        <f>IF(NOT(ISBLANK(схема!O34)),CONCATENATE(VLOOKUP(схема!O34,идент!$A$2:$B$250,2)," (ауд. 308, к.2)"),"")</f>
      </c>
      <c r="D36" s="217">
        <f>C36</f>
      </c>
      <c r="E36" s="73">
        <f>IF(NOT(ISBLANK(схема!R34)),CONCATENATE(VLOOKUP(схема!R34,идент!$A$2:$B$250,2),""),"")</f>
      </c>
    </row>
    <row r="37" spans="1:5" ht="31.5" customHeight="1">
      <c r="A37" s="288"/>
      <c r="B37" s="7">
        <f>B35+1</f>
        <v>7</v>
      </c>
      <c r="C37" s="277"/>
      <c r="D37" s="278"/>
      <c r="E37" s="153"/>
    </row>
    <row r="38" spans="1:5" ht="23.25" customHeight="1">
      <c r="A38" s="288"/>
      <c r="B38" s="9" t="str">
        <f>VLOOKUP(B37,служ!$A$7:$B$15,2)</f>
        <v>18:20-19:40</v>
      </c>
      <c r="C38" s="275">
        <f>IF(NOT(ISBLANK(схема!O36)),CONCATENATE(VLOOKUP(схема!O36,идент!$A$2:$B$250,2),""),"")</f>
      </c>
      <c r="D38" s="276">
        <f>C38</f>
      </c>
      <c r="E38" s="73">
        <f>IF(NOT(ISBLANK(схема!R36)),CONCATENATE(VLOOKUP(схема!R36,идент!$A$2:$B$250,2),""),"")</f>
      </c>
    </row>
    <row r="39" spans="1:5" ht="48.75" customHeight="1">
      <c r="A39" s="288"/>
      <c r="B39" s="7">
        <f>B37+1</f>
        <v>8</v>
      </c>
      <c r="C39" s="154"/>
      <c r="D39" s="170"/>
      <c r="E39" s="152"/>
    </row>
    <row r="40" spans="1:5" ht="16.5" customHeight="1" thickBot="1">
      <c r="A40" s="288"/>
      <c r="B40" s="9" t="str">
        <f>VLOOKUP(B39,служ!$A$7:$B$15,2)</f>
        <v>20:10-21:30</v>
      </c>
      <c r="C40" s="10">
        <f>IF(NOT(ISBLANK(схема!O38)),CONCATENATE(VLOOKUP(схема!O38,идент!$A$2:$B$250,2)," "),"")</f>
      </c>
      <c r="D40" s="141">
        <f>IF(NOT(ISBLANK(схема!Q38)),CONCATENATE(VLOOKUP(схема!Q38,идент!$A$2:$B$250,2)," (ауд. 103, к.1)"),"")</f>
      </c>
      <c r="E40" s="73">
        <f>IF(NOT(ISBLANK(схема!R38)),CONCATENATE(VLOOKUP(схема!R38,идент!$A$2:$B$250,2),""),"")</f>
      </c>
    </row>
    <row r="41" spans="1:5" ht="28.5" customHeight="1" hidden="1">
      <c r="A41" s="288"/>
      <c r="B41" s="74">
        <f>B39+1</f>
        <v>9</v>
      </c>
      <c r="C41" s="171"/>
      <c r="D41" s="171"/>
      <c r="E41" s="172"/>
    </row>
    <row r="42" spans="1:5" ht="28.5" customHeight="1" hidden="1" thickBot="1">
      <c r="A42" s="289"/>
      <c r="B42" s="11">
        <f>VLOOKUP(B41,служ!$A$7:$B$15,2)</f>
        <v>0</v>
      </c>
      <c r="C42" s="70">
        <f>IF(NOT(ISBLANK(схема!O40)),CONCATENATE(VLOOKUP(схема!O40,идент!$A$2:$B$134,2)," (ауд. 407, к.1)"),"")</f>
      </c>
      <c r="D42" s="70"/>
      <c r="E42" s="121"/>
    </row>
    <row r="43" spans="1:5" ht="29.25" customHeight="1">
      <c r="A43" s="91" t="s">
        <v>4</v>
      </c>
      <c r="B43" s="86"/>
      <c r="C43" s="72"/>
      <c r="D43" s="72"/>
      <c r="E43" s="123"/>
    </row>
    <row r="44" spans="1:5" ht="6.75" customHeight="1">
      <c r="A44" s="288">
        <f>A25+1</f>
        <v>44468</v>
      </c>
      <c r="B44" s="7">
        <f>B42+2</f>
        <v>2</v>
      </c>
      <c r="C44" s="169"/>
      <c r="D44" s="170"/>
      <c r="E44" s="152"/>
    </row>
    <row r="45" spans="1:5" ht="6.75" customHeight="1">
      <c r="A45" s="311"/>
      <c r="B45" s="9" t="str">
        <f>VLOOKUP(B44,служ!$A$7:$B$15,2)</f>
        <v> 9:40-11:00</v>
      </c>
      <c r="C45" s="10">
        <f>IF(NOT(ISBLANK(схема!O44)),CONCATENATE(VLOOKUP(схема!O44,идент!$A$2:$B$250,2)," (ауд. 412, к.1)"),"")</f>
      </c>
      <c r="D45" s="141">
        <f>IF(NOT(ISBLANK(схема!Q44)),CONCATENATE(VLOOKUP(схема!Q44,идент!$A$2:$B$250,2)," (ауд. 412, к.1)"),"")</f>
      </c>
      <c r="E45" s="73">
        <f>IF(NOT(ISBLANK(схема!R44)),CONCATENATE(VLOOKUP(схема!R44,идент!$A$2:$B$250,2)," (ауд. 412, к.1)"),"")</f>
      </c>
    </row>
    <row r="46" spans="1:5" ht="21.75" customHeight="1">
      <c r="A46" s="311"/>
      <c r="B46" s="7">
        <f>B44+1</f>
        <v>3</v>
      </c>
      <c r="C46" s="169"/>
      <c r="D46" s="178"/>
      <c r="E46" s="153"/>
    </row>
    <row r="47" spans="1:5" ht="21.75" customHeight="1">
      <c r="A47" s="311"/>
      <c r="B47" s="9" t="str">
        <f>VLOOKUP(B46,служ!$A$7:$B$15,2)</f>
        <v>11:30-12:50</v>
      </c>
      <c r="C47" s="10">
        <f>IF(NOT(ISBLANK(схема!O46)),CONCATENATE(VLOOKUP(схема!O46,идент!$A$2:$B$250,2)," (ауд. 412, к.1)"),"")</f>
      </c>
      <c r="D47" s="141">
        <f>IF(NOT(ISBLANK(схема!Q46)),CONCATENATE(VLOOKUP(схема!Q46,идент!$A$2:$B$250,2)," (ауд. 412, к.1)"),"")</f>
      </c>
      <c r="E47" s="73">
        <f>IF(NOT(ISBLANK(схема!R46)),CONCATENATE(VLOOKUP(схема!R46,идент!$A$2:$B$250,2)," "),"")</f>
      </c>
    </row>
    <row r="48" spans="1:5" ht="21.75" customHeight="1">
      <c r="A48" s="311"/>
      <c r="B48" s="7">
        <f>B46+1</f>
        <v>4</v>
      </c>
      <c r="C48" s="150"/>
      <c r="D48" s="170"/>
      <c r="E48" s="153"/>
    </row>
    <row r="49" spans="1:5" ht="21.75" customHeight="1">
      <c r="A49" s="311"/>
      <c r="B49" s="9" t="str">
        <f>VLOOKUP(B48,служ!$A$7:$B$15,2)</f>
        <v>13:10-14:30</v>
      </c>
      <c r="C49" s="10">
        <f>IF(NOT(ISBLANK(схема!O48)),CONCATENATE(VLOOKUP(схема!O48,идент!$A$2:$B$250,2)," (ауд. 412, к.1)"),"")</f>
      </c>
      <c r="D49" s="141"/>
      <c r="E49" s="73">
        <f>IF(NOT(ISBLANK(схема!R48)),CONCATENATE(VLOOKUP(схема!R48,идент!$A$2:$B$250,2)," "),"")</f>
      </c>
    </row>
    <row r="50" spans="1:5" ht="21.75" customHeight="1">
      <c r="A50" s="311"/>
      <c r="B50" s="7">
        <f>B48+1</f>
        <v>5</v>
      </c>
      <c r="C50" s="277"/>
      <c r="D50" s="278"/>
      <c r="E50" s="201"/>
    </row>
    <row r="51" spans="1:5" ht="21.75" customHeight="1">
      <c r="A51" s="311"/>
      <c r="B51" s="9" t="str">
        <f>VLOOKUP(B50,служ!$A$7:$B$15,2)</f>
        <v>15:00-16:20</v>
      </c>
      <c r="C51" s="275">
        <f>IF(NOT(ISBLANK(схема!O50)),CONCATENATE(VLOOKUP(схема!O50,идент!$A$2:$B$250,2)," "),"")</f>
      </c>
      <c r="D51" s="276">
        <f>IF(NOT(ISBLANK(схема!Q50)),CONCATENATE(VLOOKUP(схема!Q50,идент!$A$2:$B$250,2)," (ауд. 412, к.1)"),"")</f>
      </c>
      <c r="E51" s="73">
        <f>IF(NOT(ISBLANK(схема!R50)),CONCATENATE(VLOOKUP(схема!R50,идент!$A$2:$B$250,2)," "),"")</f>
      </c>
    </row>
    <row r="52" spans="1:5" ht="21.75" customHeight="1">
      <c r="A52" s="311"/>
      <c r="B52" s="7">
        <f>B50+1</f>
        <v>6</v>
      </c>
      <c r="C52" s="150"/>
      <c r="D52" s="211"/>
      <c r="E52" s="152"/>
    </row>
    <row r="53" spans="1:5" ht="21.75" customHeight="1">
      <c r="A53" s="311"/>
      <c r="B53" s="9" t="str">
        <f>VLOOKUP(B52,служ!$A$7:$B$15,2)</f>
        <v>16:40-18:00</v>
      </c>
      <c r="C53" s="10">
        <f>IF(NOT(ISBLANK(схема!O52)),CONCATENATE(VLOOKUP(схема!O52,идент!$A$2:$B$250,2)," (ауд. 305, к.2)"),"")</f>
      </c>
      <c r="D53" s="217">
        <f>IF(NOT(ISBLANK(схема!Q52)),CONCATENATE(VLOOKUP(схема!Q52,идент!$A$2:$B$250,2)," (ауд. 412, к.1)"),"")</f>
      </c>
      <c r="E53" s="73">
        <f>IF(NOT(ISBLANK(схема!R52)),CONCATENATE(VLOOKUP(схема!R52,идент!$A$2:$B$250,2)," "),"")</f>
      </c>
    </row>
    <row r="54" spans="1:5" ht="21.75" customHeight="1">
      <c r="A54" s="311"/>
      <c r="B54" s="7">
        <f>B52+1</f>
        <v>7</v>
      </c>
      <c r="C54" s="150"/>
      <c r="D54" s="151"/>
      <c r="E54" s="153"/>
    </row>
    <row r="55" spans="1:5" ht="21.75" customHeight="1">
      <c r="A55" s="311"/>
      <c r="B55" s="9" t="str">
        <f>VLOOKUP(B54,служ!$A$7:$B$15,2)</f>
        <v>18:20-19:40</v>
      </c>
      <c r="C55" s="10">
        <f>IF(NOT(ISBLANK(схема!O54)),CONCATENATE(VLOOKUP(схема!O54,идент!$A$2:$B$250,2),""),"")</f>
      </c>
      <c r="D55" s="141">
        <f>IF(NOT(ISBLANK(схема!Q54)),CONCATENATE(VLOOKUP(схема!Q54,идент!$A$2:$B$250,2)," "),"")</f>
      </c>
      <c r="E55" s="73">
        <f>IF(NOT(ISBLANK(схема!R54)),CONCATENATE(VLOOKUP(схема!R54,идент!$A$2:$B$250,2)," "),"")</f>
      </c>
    </row>
    <row r="56" spans="1:5" ht="21.75" customHeight="1">
      <c r="A56" s="311"/>
      <c r="B56" s="7">
        <f>B54+1</f>
        <v>8</v>
      </c>
      <c r="C56" s="150"/>
      <c r="D56" s="151"/>
      <c r="E56" s="153"/>
    </row>
    <row r="57" spans="1:5" ht="21.75" customHeight="1" thickBot="1">
      <c r="A57" s="311"/>
      <c r="B57" s="9" t="str">
        <f>VLOOKUP(B56,служ!$A$7:$B$15,2)</f>
        <v>20:10-21:30</v>
      </c>
      <c r="C57" s="10">
        <f>IF(NOT(ISBLANK(схема!O56)),CONCATENATE(VLOOKUP(схема!O56,идент!$A$2:$B$250,2),""),"")</f>
      </c>
      <c r="D57" s="141">
        <f>IF(NOT(ISBLANK(схема!Q56)),CONCATENATE(VLOOKUP(схема!Q56,идент!$A$2:$B$250,2)," "),"")</f>
      </c>
      <c r="E57" s="73">
        <f>IF(NOT(ISBLANK(схема!R56)),CONCATENATE(VLOOKUP(схема!R56,идент!$A$2:$B$250,2)," "),"")</f>
      </c>
    </row>
    <row r="58" spans="1:5" ht="28.5" customHeight="1" hidden="1">
      <c r="A58" s="311"/>
      <c r="B58" s="74">
        <f>B56+1</f>
        <v>9</v>
      </c>
      <c r="C58" s="171"/>
      <c r="D58" s="171"/>
      <c r="E58" s="172"/>
    </row>
    <row r="59" spans="1:5" ht="28.5" customHeight="1" hidden="1" thickBot="1">
      <c r="A59" s="312"/>
      <c r="B59" s="11">
        <f>VLOOKUP(B58,служ!$A$7:$B$15,2)</f>
        <v>0</v>
      </c>
      <c r="C59" s="70">
        <f>IF(NOT(ISBLANK(схема!O58)),CONCATENATE(VLOOKUP(схема!O58,идент!$A$2:$B$134,2)," (ауд. 407, к.1)"),"")</f>
      </c>
      <c r="D59" s="70"/>
      <c r="E59" s="121"/>
    </row>
    <row r="60" spans="1:5" ht="28.5" customHeight="1">
      <c r="A60" s="89" t="s">
        <v>5</v>
      </c>
      <c r="B60" s="68">
        <v>2</v>
      </c>
      <c r="C60" s="168"/>
      <c r="D60" s="179"/>
      <c r="E60" s="159"/>
    </row>
    <row r="61" spans="1:5" ht="3.75" customHeight="1">
      <c r="A61" s="288">
        <f>A44+1</f>
        <v>44469</v>
      </c>
      <c r="B61" s="9" t="str">
        <f>VLOOKUP(B60,служ!$A$7:$B$15,2)</f>
        <v> 9:40-11:00</v>
      </c>
      <c r="C61" s="10">
        <f>IF(NOT(ISBLANK(схема!O62)),CONCATENATE(VLOOKUP(схема!O62,идент!$A$2:$B$250,2)," (ауд. 307, к.1)"),"")</f>
      </c>
      <c r="D61" s="141">
        <f>IF(NOT(ISBLANK(схема!Q62)),CONCATENATE(VLOOKUP(схема!Q62,идент!$A$2:$B$250,2)," (ауд. 307, к.1)"),"")</f>
      </c>
      <c r="E61" s="73">
        <f>IF(NOT(ISBLANK(схема!R62)),CONCATENATE(VLOOKUP(схема!R62,идент!$A$2:$B$250,2)," (ауд. 307, к.1)"),"")</f>
      </c>
    </row>
    <row r="62" spans="1:5" ht="21.75" customHeight="1">
      <c r="A62" s="288"/>
      <c r="B62" s="7">
        <f>B60+1</f>
        <v>3</v>
      </c>
      <c r="C62" s="169"/>
      <c r="D62" s="170"/>
      <c r="E62" s="153"/>
    </row>
    <row r="63" spans="1:5" ht="21.75" customHeight="1">
      <c r="A63" s="288"/>
      <c r="B63" s="9" t="str">
        <f>VLOOKUP(B62,служ!$A$7:$B$15,2)</f>
        <v>11:30-12:50</v>
      </c>
      <c r="C63" s="10">
        <f>IF(NOT(ISBLANK(схема!O64)),CONCATENATE(VLOOKUP(схема!O64,идент!$A$2:$B$250,2)," (ауд. 307, к.1)"),"")</f>
      </c>
      <c r="D63" s="141">
        <f>IF(NOT(ISBLANK(схема!Q64)),CONCATENATE(VLOOKUP(схема!Q64,идент!$A$2:$B$250,2)," (ауд. 307, к.1)"),"")</f>
      </c>
      <c r="E63" s="73">
        <f>IF(NOT(ISBLANK(схема!R64)),CONCATENATE(VLOOKUP(схема!R64,идент!$A$2:$B$250,2)," (ауд. 311, к.2)"),"")</f>
      </c>
    </row>
    <row r="64" spans="1:5" ht="21.75" customHeight="1">
      <c r="A64" s="288"/>
      <c r="B64" s="7">
        <f>B62+1</f>
        <v>4</v>
      </c>
      <c r="C64" s="169"/>
      <c r="D64" s="170"/>
      <c r="E64" s="153"/>
    </row>
    <row r="65" spans="1:5" ht="21.75" customHeight="1">
      <c r="A65" s="288"/>
      <c r="B65" s="9" t="str">
        <f>VLOOKUP(B64,служ!$A$7:$B$15,2)</f>
        <v>13:10-14:30</v>
      </c>
      <c r="C65" s="10">
        <f>IF(NOT(ISBLANK(схема!O66)),CONCATENATE(VLOOKUP(схема!O66,идент!$A$2:$B$250,2)," (ауд. 318, к.2)"),"")</f>
      </c>
      <c r="D65" s="141">
        <f>IF(NOT(ISBLANK(схема!Q66)),CONCATENATE(VLOOKUP(схема!Q66,идент!$A$2:$B$250,2)," (ауд. 307, к.1)"),"")</f>
      </c>
      <c r="E65" s="73">
        <f>IF(NOT(ISBLANK(схема!R66)),CONCATENATE(VLOOKUP(схема!R66,идент!$A$2:$B$250,2),""),"")</f>
      </c>
    </row>
    <row r="66" spans="1:5" ht="21.75" customHeight="1">
      <c r="A66" s="288"/>
      <c r="B66" s="7">
        <f>B64+1</f>
        <v>5</v>
      </c>
      <c r="C66" s="169"/>
      <c r="D66" s="170"/>
      <c r="E66" s="153"/>
    </row>
    <row r="67" spans="1:5" ht="21.75" customHeight="1">
      <c r="A67" s="288"/>
      <c r="B67" s="9" t="str">
        <f>VLOOKUP(B66,служ!$A$7:$B$15,2)</f>
        <v>15:00-16:20</v>
      </c>
      <c r="C67" s="10"/>
      <c r="D67" s="141"/>
      <c r="E67" s="73">
        <f>IF(NOT(ISBLANK(схема!R68)),CONCATENATE(VLOOKUP(схема!R68,идент!$A$2:$B$250,2),""),"")</f>
      </c>
    </row>
    <row r="68" spans="1:5" ht="21.75" customHeight="1">
      <c r="A68" s="288"/>
      <c r="B68" s="7">
        <f>B66+1</f>
        <v>6</v>
      </c>
      <c r="C68" s="205"/>
      <c r="D68" s="213"/>
      <c r="E68" s="201"/>
    </row>
    <row r="69" spans="1:5" ht="21.75" customHeight="1">
      <c r="A69" s="288"/>
      <c r="B69" s="9" t="str">
        <f>VLOOKUP(B68,служ!$A$7:$B$15,2)</f>
        <v>16:40-18:00</v>
      </c>
      <c r="C69" s="10">
        <f>IF(NOT(ISBLANK(схема!O70)),CONCATENATE(VLOOKUP(схема!O70,идент!$A$2:$B$250,2)," "),"")</f>
      </c>
      <c r="D69" s="217">
        <f>IF(NOT(ISBLANK(схема!Q70)),CONCATENATE(VLOOKUP(схема!Q70,идент!$A$2:$B$250,2),""),"")</f>
      </c>
      <c r="E69" s="73">
        <f>IF(NOT(ISBLANK(схема!R70)),CONCATENATE(VLOOKUP(схема!R70,идент!$A$2:$B$250,2),""),"")</f>
      </c>
    </row>
    <row r="70" spans="1:5" ht="21.75" customHeight="1">
      <c r="A70" s="288"/>
      <c r="B70" s="7">
        <f>B68+1</f>
        <v>7</v>
      </c>
      <c r="C70" s="150"/>
      <c r="D70" s="213"/>
      <c r="E70" s="153"/>
    </row>
    <row r="71" spans="1:5" ht="21.75" customHeight="1">
      <c r="A71" s="288"/>
      <c r="B71" s="9" t="str">
        <f>VLOOKUP(B70,служ!$A$7:$B$15,2)</f>
        <v>18:20-19:40</v>
      </c>
      <c r="C71" s="10">
        <f>IF(NOT(ISBLANK(схема!O72)),CONCATENATE(VLOOKUP(схема!O72,идент!$A$2:$B$250,2)," "),"")</f>
      </c>
      <c r="D71" s="217">
        <f>IF(NOT(ISBLANK(схема!Q72)),CONCATENATE(VLOOKUP(схема!Q72,идент!$A$2:$B$250,2),""),"")</f>
      </c>
      <c r="E71" s="73">
        <f>IF(NOT(ISBLANK(схема!R72)),CONCATENATE(VLOOKUP(схема!R72,идент!$A$2:$B$250,2),""),"")</f>
      </c>
    </row>
    <row r="72" spans="1:5" ht="21.75" customHeight="1">
      <c r="A72" s="288"/>
      <c r="B72" s="7">
        <f>B70+1</f>
        <v>8</v>
      </c>
      <c r="C72" s="150"/>
      <c r="D72" s="170"/>
      <c r="E72" s="153"/>
    </row>
    <row r="73" spans="1:5" ht="21.75" customHeight="1" thickBot="1">
      <c r="A73" s="288"/>
      <c r="B73" s="9" t="str">
        <f>VLOOKUP(B72,служ!$A$7:$B$15,2)</f>
        <v>20:10-21:30</v>
      </c>
      <c r="C73" s="10">
        <f>IF(NOT(ISBLANK(схема!O74)),CONCATENATE(VLOOKUP(схема!O74,идент!$A$2:$B$250,2)," "),"")</f>
      </c>
      <c r="D73" s="119"/>
      <c r="E73" s="73">
        <f>IF(NOT(ISBLANK(схема!R74)),CONCATENATE(VLOOKUP(схема!R74,идент!$A$2:$B$250,2),""),"")</f>
      </c>
    </row>
    <row r="74" spans="1:5" ht="28.5" customHeight="1" hidden="1">
      <c r="A74" s="288"/>
      <c r="B74" s="74">
        <f>B72+1</f>
        <v>9</v>
      </c>
      <c r="C74" s="171"/>
      <c r="D74" s="171"/>
      <c r="E74" s="172"/>
    </row>
    <row r="75" spans="1:5" ht="28.5" customHeight="1" hidden="1" thickBot="1">
      <c r="A75" s="289"/>
      <c r="B75" s="11">
        <f>VLOOKUP(B74,служ!$A$7:$B$15,2)</f>
        <v>0</v>
      </c>
      <c r="C75" s="70">
        <f>IF(NOT(ISBLANK(схема!O76)),CONCATENATE(VLOOKUP(схема!O76,идент!$A$2:$B$134,2)," (ауд. 407, к.1)"),"")</f>
      </c>
      <c r="D75" s="70"/>
      <c r="E75" s="121"/>
    </row>
    <row r="76" spans="1:5" ht="28.5" customHeight="1">
      <c r="A76" s="89" t="s">
        <v>6</v>
      </c>
      <c r="B76" s="68">
        <v>1</v>
      </c>
      <c r="C76" s="168"/>
      <c r="D76" s="179"/>
      <c r="E76" s="159"/>
    </row>
    <row r="77" spans="1:5" ht="6" customHeight="1">
      <c r="A77" s="288">
        <f>A61+1</f>
        <v>44470</v>
      </c>
      <c r="B77" s="9" t="str">
        <f>VLOOKUP(B76,служ!$A$7:$B$15,2)</f>
        <v> 8:10- 9:30</v>
      </c>
      <c r="C77" s="10">
        <f>IF(NOT(ISBLANK(схема!O78)),CONCATENATE(VLOOKUP(схема!O78,идент!$A$2:$B$160,2)," (ауд. 407, к.1)"),"")</f>
      </c>
      <c r="D77" s="141"/>
      <c r="E77" s="73"/>
    </row>
    <row r="78" spans="1:5" ht="6" customHeight="1">
      <c r="A78" s="288"/>
      <c r="B78" s="7">
        <f>B76+1</f>
        <v>2</v>
      </c>
      <c r="C78" s="169"/>
      <c r="D78" s="170"/>
      <c r="E78" s="152"/>
    </row>
    <row r="79" spans="1:5" ht="6" customHeight="1">
      <c r="A79" s="288"/>
      <c r="B79" s="9" t="str">
        <f>VLOOKUP(B78,служ!$A$7:$B$15,2)</f>
        <v> 9:40-11:00</v>
      </c>
      <c r="C79" s="10">
        <f>IF(NOT(ISBLANK(схема!O80)),CONCATENATE(VLOOKUP(схема!O80,идент!$A$2:$B$250,2)," (ауд. 07, к.1)"),"")</f>
      </c>
      <c r="D79" s="141">
        <f>IF(NOT(ISBLANK(схема!Q80)),CONCATENATE(VLOOKUP(схема!Q80,идент!$A$2:$B$250,2)," (ауд. 07, к.1)"),"")</f>
      </c>
      <c r="E79" s="73">
        <f>IF(NOT(ISBLANK(схема!R80)),CONCATENATE(VLOOKUP(схема!R80,идент!$A$2:$B$250,2)," (ауд. 07, к.1)"),"")</f>
      </c>
    </row>
    <row r="80" spans="1:5" ht="9" customHeight="1">
      <c r="A80" s="288"/>
      <c r="B80" s="7">
        <f>B78+1</f>
        <v>3</v>
      </c>
      <c r="C80" s="169"/>
      <c r="D80" s="170"/>
      <c r="E80" s="152"/>
    </row>
    <row r="81" spans="1:5" ht="9" customHeight="1">
      <c r="A81" s="288"/>
      <c r="B81" s="9" t="str">
        <f>VLOOKUP(B80,служ!$A$7:$B$15,2)</f>
        <v>11:30-12:50</v>
      </c>
      <c r="C81" s="10">
        <f>IF(NOT(ISBLANK(схема!O82)),CONCATENATE(VLOOKUP(схема!O82,идент!$A$2:$B$250,2)," (ауд. 07, к.1)"),"")</f>
      </c>
      <c r="D81" s="141">
        <f>IF(NOT(ISBLANK(схема!Q82)),CONCATENATE(VLOOKUP(схема!Q82,идент!$A$2:$B$250,2)," (ауд. 07, к.1)"),"")</f>
      </c>
      <c r="E81" s="73">
        <f>IF(NOT(ISBLANK(схема!R82)),CONCATENATE(VLOOKUP(схема!R82,идент!$A$2:$B$250,2)," (ауд. 07, к.1)"),"")</f>
      </c>
    </row>
    <row r="82" spans="1:5" ht="14.25" customHeight="1">
      <c r="A82" s="288"/>
      <c r="B82" s="7">
        <f>B80+1</f>
        <v>4</v>
      </c>
      <c r="C82" s="150"/>
      <c r="D82" s="170"/>
      <c r="E82" s="152"/>
    </row>
    <row r="83" spans="1:5" ht="12.75" customHeight="1">
      <c r="A83" s="288"/>
      <c r="B83" s="9" t="str">
        <f>VLOOKUP(B82,служ!$A$7:$B$15,2)</f>
        <v>13:10-14:30</v>
      </c>
      <c r="C83" s="10">
        <f>IF(NOT(ISBLANK(схема!O84)),CONCATENATE(VLOOKUP(схема!O84,идент!$A$2:$B$250,2)," (ауд. 307, к.2)"),"")</f>
      </c>
      <c r="D83" s="119">
        <f>IF(NOT(ISBLANK(схема!Q84)),CONCATENATE(VLOOKUP(схема!Q84,идент!$A$2:$B$250,2)," (ауд. 07, к.1)"),"")</f>
      </c>
      <c r="E83" s="73">
        <f>IF(NOT(ISBLANK(схема!R84)),CONCATENATE(VLOOKUP(схема!R84,идент!$A$2:$B$250,2)," (ауд. 311, к.4)"),"")</f>
      </c>
    </row>
    <row r="84" spans="1:5" ht="23.25" customHeight="1">
      <c r="A84" s="288"/>
      <c r="B84" s="7">
        <f>B82+1</f>
        <v>5</v>
      </c>
      <c r="C84" s="150"/>
      <c r="D84" s="180"/>
      <c r="E84" s="153"/>
    </row>
    <row r="85" spans="1:5" ht="23.25" customHeight="1">
      <c r="A85" s="288"/>
      <c r="B85" s="9" t="str">
        <f>VLOOKUP(B84,служ!$A$7:$B$15,2)</f>
        <v>15:00-16:20</v>
      </c>
      <c r="C85" s="10">
        <f>IF(NOT(ISBLANK(схема!O86)),CONCATENATE(VLOOKUP(схема!O86,идент!$A$2:$B$250,2)," (ауд. 307, к.2)"),"")</f>
      </c>
      <c r="D85" s="119">
        <f>IF(NOT(ISBLANK(схема!Q86)),CONCATENATE(VLOOKUP(схема!Q86,идент!$A$2:$B$250,2),""),"")</f>
      </c>
      <c r="E85" s="73">
        <f>IF(NOT(ISBLANK(схема!R86)),CONCATENATE(VLOOKUP(схема!R86,идент!$A$2:$B$250,2)," "),"")</f>
      </c>
    </row>
    <row r="86" spans="1:5" ht="23.25" customHeight="1">
      <c r="A86" s="288"/>
      <c r="B86" s="7">
        <f>B84+1</f>
        <v>6</v>
      </c>
      <c r="C86" s="150"/>
      <c r="D86" s="180"/>
      <c r="E86" s="153"/>
    </row>
    <row r="87" spans="1:5" ht="23.25" customHeight="1">
      <c r="A87" s="288"/>
      <c r="B87" s="9" t="str">
        <f>VLOOKUP(B86,служ!$A$7:$B$15,2)</f>
        <v>16:40-18:00</v>
      </c>
      <c r="C87" s="10">
        <f>IF(NOT(ISBLANK(схема!O88)),CONCATENATE(VLOOKUP(схема!O88,идент!$A$2:$B$250,2)," (ауд. 220, к.2)"),"")</f>
      </c>
      <c r="D87" s="119">
        <f>IF(NOT(ISBLANK(схема!Q88)),CONCATENATE(VLOOKUP(схема!Q88,идент!$A$2:$B$250,2),""),"")</f>
      </c>
      <c r="E87" s="73">
        <f>IF(NOT(ISBLANK(схема!R88)),CONCATENATE(VLOOKUP(схема!R88,идент!$A$2:$B$250,2)," "),"")</f>
      </c>
    </row>
    <row r="88" spans="1:5" ht="23.25" customHeight="1">
      <c r="A88" s="288"/>
      <c r="B88" s="7">
        <f>B86+1</f>
        <v>7</v>
      </c>
      <c r="C88" s="154"/>
      <c r="D88" s="213"/>
      <c r="E88" s="246"/>
    </row>
    <row r="89" spans="1:5" ht="23.25" customHeight="1">
      <c r="A89" s="288"/>
      <c r="B89" s="9" t="str">
        <f>VLOOKUP(B88,служ!$A$7:$B$15,2)</f>
        <v>18:20-19:40</v>
      </c>
      <c r="C89" s="10">
        <f>IF(NOT(ISBLANK(схема!O90)),CONCATENATE(VLOOKUP(схема!O90,идент!$A$2:$B$250,2)," "),"")</f>
      </c>
      <c r="D89" s="217"/>
      <c r="E89" s="73">
        <f>IF(NOT(ISBLANK(схема!R90)),CONCATENATE(VLOOKUP(схема!R90,идент!$A$2:$B$250,2)," "),"")</f>
      </c>
    </row>
    <row r="90" spans="1:5" ht="23.25" customHeight="1">
      <c r="A90" s="288"/>
      <c r="B90" s="7">
        <f>B88+1</f>
        <v>8</v>
      </c>
      <c r="C90" s="327"/>
      <c r="D90" s="328"/>
      <c r="E90" s="329"/>
    </row>
    <row r="91" spans="1:5" ht="15" customHeight="1" thickBot="1">
      <c r="A91" s="289"/>
      <c r="B91" s="11" t="str">
        <f>VLOOKUP(B90,служ!$A$7:$B$15,2)</f>
        <v>20:10-21:30</v>
      </c>
      <c r="C91" s="330"/>
      <c r="D91" s="331"/>
      <c r="E91" s="332"/>
    </row>
    <row r="92" spans="1:5" ht="30" customHeight="1">
      <c r="A92" s="90" t="s">
        <v>7</v>
      </c>
      <c r="B92" s="51">
        <v>1</v>
      </c>
      <c r="C92" s="157"/>
      <c r="D92" s="216"/>
      <c r="E92" s="159"/>
    </row>
    <row r="93" spans="1:5" ht="18" customHeight="1">
      <c r="A93" s="288">
        <f>A77+1</f>
        <v>44471</v>
      </c>
      <c r="B93" s="9" t="str">
        <f>VLOOKUP(B92,служ!$D$7:$E$10,2)</f>
        <v> 9:10-10:30</v>
      </c>
      <c r="C93" s="10">
        <f>IF(NOT(ISBLANK(схема!O96)),CONCATENATE(VLOOKUP(схема!O96,идент!$A$2:$B$250,2)," (ауд. 301, к.1)"),"")</f>
      </c>
      <c r="D93" s="212">
        <f>C93</f>
      </c>
      <c r="E93" s="73">
        <f>IF(NOT(ISBLANK(схема!R96)),CONCATENATE(VLOOKUP(схема!R96,идент!$A$2:$B$250,2)," (ауд. 110, к.3)"),"")</f>
      </c>
    </row>
    <row r="94" spans="1:5" ht="24.75" customHeight="1">
      <c r="A94" s="303"/>
      <c r="B94" s="7">
        <f>B92+1</f>
        <v>2</v>
      </c>
      <c r="C94" s="154"/>
      <c r="D94" s="170"/>
      <c r="E94" s="206"/>
    </row>
    <row r="95" spans="1:5" ht="18" customHeight="1">
      <c r="A95" s="303"/>
      <c r="B95" s="9" t="str">
        <f>VLOOKUP(B94,служ!$D$7:$E$10,2)</f>
        <v>10:40-12:00</v>
      </c>
      <c r="C95" s="10">
        <f>IF(NOT(ISBLANK(схема!O98)),CONCATENATE(VLOOKUP(схема!O98,идент!$A$2:$B$250,2),""),"")</f>
      </c>
      <c r="D95" s="119">
        <f>IF(NOT(ISBLANK(схема!Q98)),CONCATENATE(VLOOKUP(схема!Q98,идент!$A$2:$B$250,2)," "),"")</f>
      </c>
      <c r="E95" s="73">
        <f>IF(NOT(ISBLANK(схема!R98)),CONCATENATE(VLOOKUP(схема!R98,идент!$A$2:$B$250,2),""),"")</f>
      </c>
    </row>
    <row r="96" spans="1:5" ht="15.75" customHeight="1">
      <c r="A96" s="303" t="s">
        <v>7</v>
      </c>
      <c r="B96" s="7">
        <f>B94+1</f>
        <v>3</v>
      </c>
      <c r="C96" s="150"/>
      <c r="D96" s="170"/>
      <c r="E96" s="152"/>
    </row>
    <row r="97" spans="1:5" ht="15.75" customHeight="1">
      <c r="A97" s="303"/>
      <c r="B97" s="9" t="str">
        <f>VLOOKUP(B96,служ!$D$7:$E$10,2)</f>
        <v>12:40-14:00</v>
      </c>
      <c r="C97" s="10"/>
      <c r="D97" s="119"/>
      <c r="E97" s="73"/>
    </row>
    <row r="98" spans="1:5" ht="15.75" customHeight="1">
      <c r="A98" s="303"/>
      <c r="B98" s="7">
        <f>B96+1</f>
        <v>4</v>
      </c>
      <c r="C98" s="150"/>
      <c r="D98" s="170"/>
      <c r="E98" s="152"/>
    </row>
    <row r="99" spans="1:5" ht="15.75" customHeight="1">
      <c r="A99" s="303"/>
      <c r="B99" s="9" t="str">
        <f>VLOOKUP(B98,служ!$D$7:$E$14,2)</f>
        <v>14:10-15:30</v>
      </c>
      <c r="C99" s="10"/>
      <c r="D99" s="119"/>
      <c r="E99" s="73"/>
    </row>
    <row r="100" spans="1:5" ht="15.75" customHeight="1">
      <c r="A100" s="303"/>
      <c r="B100" s="7">
        <f>B98+1</f>
        <v>5</v>
      </c>
      <c r="C100" s="150"/>
      <c r="D100" s="170"/>
      <c r="E100" s="152"/>
    </row>
    <row r="101" spans="1:5" ht="15.75" customHeight="1">
      <c r="A101" s="303"/>
      <c r="B101" s="9" t="str">
        <f>VLOOKUP(B100,служ!$D$7:$E$14,2)</f>
        <v>15:40-17:00</v>
      </c>
      <c r="C101" s="10"/>
      <c r="D101" s="119"/>
      <c r="E101" s="73"/>
    </row>
    <row r="102" spans="1:5" ht="15.75" customHeight="1">
      <c r="A102" s="300"/>
      <c r="B102" s="7">
        <f>B100+1</f>
        <v>6</v>
      </c>
      <c r="C102" s="169"/>
      <c r="D102" s="319"/>
      <c r="E102" s="320"/>
    </row>
    <row r="103" spans="1:5" ht="15.75" customHeight="1" thickBot="1">
      <c r="A103" s="301"/>
      <c r="B103" s="11" t="str">
        <f>VLOOKUP(B102,служ!$D$7:$E$14,2)</f>
        <v>17:10-18:30</v>
      </c>
      <c r="C103" s="139">
        <f>IF(NOT(ISBLANK(схема!O106)),CONCATENATE(VLOOKUP(схема!O106,идент!$A$2:$B$250,2)," (ауд. 216, к.4)"),"")</f>
      </c>
      <c r="D103" s="282"/>
      <c r="E103" s="283"/>
    </row>
    <row r="104" spans="1:5" ht="33.75" customHeight="1">
      <c r="A104" s="90" t="s">
        <v>8</v>
      </c>
      <c r="B104" s="51">
        <v>1</v>
      </c>
      <c r="C104" s="323"/>
      <c r="D104" s="324"/>
      <c r="E104" s="202"/>
    </row>
    <row r="105" spans="1:5" ht="24.75" customHeight="1">
      <c r="A105" s="285">
        <f>A93+1</f>
        <v>44472</v>
      </c>
      <c r="B105" s="9" t="str">
        <f>VLOOKUP(B104,служ!$D$7:$E$10,2)</f>
        <v> 9:10-10:30</v>
      </c>
      <c r="C105" s="321">
        <f>IF(NOT(ISBLANK(схема!O108)),CONCATENATE(VLOOKUP(схема!O108,идент!$A$2:$B$250,2),""),"")</f>
      </c>
      <c r="D105" s="322"/>
      <c r="E105" s="73">
        <f>IF(NOT(ISBLANK(схема!R108)),CONCATENATE(VLOOKUP(схема!R108,идент!$A$2:$B$250,2),""),"")</f>
      </c>
    </row>
    <row r="106" spans="1:5" ht="24.75" customHeight="1">
      <c r="A106" s="317"/>
      <c r="B106" s="7">
        <f>B104+1</f>
        <v>2</v>
      </c>
      <c r="C106" s="325"/>
      <c r="D106" s="326"/>
      <c r="E106" s="203"/>
    </row>
    <row r="107" spans="1:5" ht="24.75" customHeight="1" thickBot="1">
      <c r="A107" s="317"/>
      <c r="B107" s="9" t="str">
        <f>VLOOKUP(B106,служ!$D$7:$E$10,2)</f>
        <v>10:40-12:00</v>
      </c>
      <c r="C107" s="275">
        <f>IF(NOT(ISBLANK(схема!O110)),CONCATENATE(VLOOKUP(схема!O110,идент!$A$2:$B$250,2)," "),"")</f>
      </c>
      <c r="D107" s="305">
        <f>IF(NOT(ISBLANK(схема!Q110)),CONCATENATE(VLOOKUP(схема!Q110,идент!$A$2:$B$250,2)," (ауд. 307, к.1)"),"")</f>
      </c>
      <c r="E107" s="73">
        <f>IF(NOT(ISBLANK(схема!R110)),CONCATENATE(VLOOKUP(схема!R110,идент!$A$2:$B$250,2)," (ауд. 307, к.1)"),"")</f>
      </c>
    </row>
    <row r="108" spans="1:5" ht="27" customHeight="1" thickBot="1">
      <c r="A108" s="317"/>
      <c r="B108" s="7">
        <f>B106+1</f>
        <v>3</v>
      </c>
      <c r="C108" s="183"/>
      <c r="D108" s="315"/>
      <c r="E108" s="316"/>
    </row>
    <row r="109" spans="1:5" ht="18.75" customHeight="1">
      <c r="A109" s="317"/>
      <c r="B109" s="9" t="str">
        <f>VLOOKUP(B108,служ!$F$7:$G$10,2)</f>
        <v>12:30-13:50</v>
      </c>
      <c r="C109" s="10">
        <f>IF(NOT(ISBLANK(схема!O112)),CONCATENATE(VLOOKUP(схема!O112,идент!$A$2:$B$250,2)," (ауд. 216, к.4)"),"")</f>
      </c>
      <c r="D109" s="141"/>
      <c r="E109" s="73"/>
    </row>
    <row r="110" spans="1:5" ht="18.75" customHeight="1">
      <c r="A110" s="317"/>
      <c r="B110" s="7">
        <f>B108+1</f>
        <v>4</v>
      </c>
      <c r="C110" s="144"/>
      <c r="D110" s="140"/>
      <c r="E110" s="84"/>
    </row>
    <row r="111" spans="1:5" ht="18.75" customHeight="1" thickBot="1">
      <c r="A111" s="318"/>
      <c r="B111" s="11" t="str">
        <f>VLOOKUP(B110,служ!$F$7:$G$10,2)</f>
        <v>14:00-15:20</v>
      </c>
      <c r="C111" s="139">
        <f>IF(NOT(ISBLANK(схема!O114)),CONCATENATE(VLOOKUP(схема!O114,идент!$A$2:$B$250,2)," (ауд. 216, к.4)"),"")</f>
      </c>
      <c r="D111" s="142"/>
      <c r="E111" s="143"/>
    </row>
    <row r="112" spans="1:5" ht="15.75">
      <c r="A112" s="12"/>
      <c r="B112" s="130">
        <v>44427</v>
      </c>
      <c r="C112" s="13"/>
      <c r="D112" s="13"/>
      <c r="E112" s="13"/>
    </row>
    <row r="113" spans="3:5" ht="7.5" customHeight="1">
      <c r="C113" s="14"/>
      <c r="D113" s="14"/>
      <c r="E113" s="14"/>
    </row>
    <row r="114" ht="7.5" customHeight="1"/>
  </sheetData>
  <sheetProtection/>
  <mergeCells count="29">
    <mergeCell ref="C1:E1"/>
    <mergeCell ref="C2:E2"/>
    <mergeCell ref="C6:E6"/>
    <mergeCell ref="C4:D4"/>
    <mergeCell ref="C12:D12"/>
    <mergeCell ref="A77:A91"/>
    <mergeCell ref="A61:A75"/>
    <mergeCell ref="A7:A23"/>
    <mergeCell ref="A25:A42"/>
    <mergeCell ref="D29:E29"/>
    <mergeCell ref="C13:D13"/>
    <mergeCell ref="C14:D14"/>
    <mergeCell ref="A44:A59"/>
    <mergeCell ref="C90:E91"/>
    <mergeCell ref="C51:D51"/>
    <mergeCell ref="C37:D37"/>
    <mergeCell ref="C38:D38"/>
    <mergeCell ref="C15:D15"/>
    <mergeCell ref="D30:E30"/>
    <mergeCell ref="C50:D50"/>
    <mergeCell ref="D108:E108"/>
    <mergeCell ref="A105:A111"/>
    <mergeCell ref="D103:E103"/>
    <mergeCell ref="A93:A103"/>
    <mergeCell ref="D102:E102"/>
    <mergeCell ref="C105:D105"/>
    <mergeCell ref="C104:D104"/>
    <mergeCell ref="C106:D106"/>
    <mergeCell ref="C107:D107"/>
  </mergeCells>
  <printOptions/>
  <pageMargins left="0.1968503937007874" right="0.1968503937007874" top="0.31496062992125984" bottom="0.2755905511811024" header="0.2755905511811024" footer="0.1968503937007874"/>
  <pageSetup fitToHeight="2" horizontalDpi="600" verticalDpi="600" orientation="portrait" paperSize="9" scale="55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25390625" style="16" customWidth="1"/>
    <col min="2" max="2" width="11.00390625" style="0" customWidth="1"/>
    <col min="4" max="4" width="7.75390625" style="0" customWidth="1"/>
    <col min="5" max="5" width="10.75390625" style="0" customWidth="1"/>
    <col min="6" max="6" width="8.25390625" style="0" customWidth="1"/>
    <col min="7" max="7" width="10.625" style="0" customWidth="1"/>
  </cols>
  <sheetData>
    <row r="1" spans="1:2" ht="18">
      <c r="A1" s="17" t="s">
        <v>9</v>
      </c>
      <c r="B1" s="18"/>
    </row>
    <row r="2" spans="1:2" ht="18">
      <c r="A2" s="17" t="s">
        <v>10</v>
      </c>
      <c r="B2" s="18"/>
    </row>
    <row r="5" spans="1:7" ht="12.75">
      <c r="A5" s="16" t="s">
        <v>11</v>
      </c>
      <c r="D5" s="79" t="s">
        <v>70</v>
      </c>
      <c r="E5" s="75"/>
      <c r="F5" s="79" t="s">
        <v>69</v>
      </c>
      <c r="G5" s="75"/>
    </row>
    <row r="6" spans="1:7" ht="12.75">
      <c r="A6" s="19" t="s">
        <v>12</v>
      </c>
      <c r="B6" t="s">
        <v>13</v>
      </c>
      <c r="D6" s="76" t="s">
        <v>12</v>
      </c>
      <c r="E6" s="77" t="s">
        <v>13</v>
      </c>
      <c r="F6" s="76" t="s">
        <v>12</v>
      </c>
      <c r="G6" s="77" t="s">
        <v>13</v>
      </c>
    </row>
    <row r="7" spans="1:7" ht="12.75">
      <c r="A7" s="16">
        <v>1</v>
      </c>
      <c r="B7" s="196" t="s">
        <v>126</v>
      </c>
      <c r="D7" s="78">
        <v>1</v>
      </c>
      <c r="E7" s="125" t="s">
        <v>63</v>
      </c>
      <c r="F7" s="78">
        <v>1</v>
      </c>
      <c r="G7" s="125" t="s">
        <v>63</v>
      </c>
    </row>
    <row r="8" spans="1:7" ht="12.75">
      <c r="A8" s="16">
        <v>2</v>
      </c>
      <c r="B8" s="196" t="s">
        <v>127</v>
      </c>
      <c r="D8" s="78">
        <v>2</v>
      </c>
      <c r="E8" s="125" t="s">
        <v>64</v>
      </c>
      <c r="F8" s="78">
        <v>2</v>
      </c>
      <c r="G8" s="125" t="s">
        <v>64</v>
      </c>
    </row>
    <row r="9" spans="1:7" ht="12.75">
      <c r="A9" s="16">
        <v>3</v>
      </c>
      <c r="B9" s="196" t="s">
        <v>128</v>
      </c>
      <c r="D9" s="78">
        <v>3</v>
      </c>
      <c r="E9" s="125" t="s">
        <v>129</v>
      </c>
      <c r="F9" s="78">
        <v>3</v>
      </c>
      <c r="G9" s="125" t="s">
        <v>212</v>
      </c>
    </row>
    <row r="10" spans="1:7" ht="12.75">
      <c r="A10" s="16">
        <v>4</v>
      </c>
      <c r="B10" s="196" t="s">
        <v>237</v>
      </c>
      <c r="D10" s="78">
        <v>4</v>
      </c>
      <c r="E10" s="126" t="s">
        <v>130</v>
      </c>
      <c r="F10" s="78">
        <v>4</v>
      </c>
      <c r="G10" s="125" t="s">
        <v>213</v>
      </c>
    </row>
    <row r="11" spans="1:7" ht="12.75">
      <c r="A11" s="16">
        <v>5</v>
      </c>
      <c r="B11" s="196" t="s">
        <v>81</v>
      </c>
      <c r="D11" s="98">
        <v>5</v>
      </c>
      <c r="E11" s="127" t="s">
        <v>131</v>
      </c>
      <c r="F11" s="78">
        <v>5</v>
      </c>
      <c r="G11" s="125" t="s">
        <v>214</v>
      </c>
    </row>
    <row r="12" spans="1:7" ht="12.75">
      <c r="A12" s="16">
        <v>6</v>
      </c>
      <c r="B12" s="196" t="s">
        <v>238</v>
      </c>
      <c r="D12" s="99">
        <v>6</v>
      </c>
      <c r="E12" s="128" t="s">
        <v>98</v>
      </c>
      <c r="F12" s="99">
        <v>6</v>
      </c>
      <c r="G12" s="129" t="s">
        <v>215</v>
      </c>
    </row>
    <row r="13" spans="1:2" ht="12.75">
      <c r="A13" s="16">
        <v>7</v>
      </c>
      <c r="B13" s="196" t="s">
        <v>239</v>
      </c>
    </row>
    <row r="14" spans="1:2" ht="12.75">
      <c r="A14" s="16">
        <v>8</v>
      </c>
      <c r="B14" s="196" t="s">
        <v>240</v>
      </c>
    </row>
    <row r="15" spans="1:2" ht="12.75">
      <c r="A15" s="16">
        <v>9</v>
      </c>
      <c r="B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96">
      <selection activeCell="B226" sqref="B226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4" width="5.75390625" style="0" customWidth="1"/>
  </cols>
  <sheetData>
    <row r="1" spans="1:4" ht="12.75">
      <c r="A1" s="253">
        <v>1</v>
      </c>
      <c r="B1" s="131" t="s">
        <v>15</v>
      </c>
      <c r="C1" s="46"/>
      <c r="D1" s="18"/>
    </row>
    <row r="2" spans="1:4" ht="12.75">
      <c r="A2" s="253">
        <v>2</v>
      </c>
      <c r="B2" s="131" t="s">
        <v>16</v>
      </c>
      <c r="C2" s="49"/>
      <c r="D2" s="48"/>
    </row>
    <row r="3" spans="1:4" ht="12.75">
      <c r="A3" s="253">
        <v>3</v>
      </c>
      <c r="B3" s="131" t="s">
        <v>149</v>
      </c>
      <c r="C3" s="49"/>
      <c r="D3" s="48"/>
    </row>
    <row r="4" spans="1:4" ht="12.75">
      <c r="A4" s="253">
        <v>4</v>
      </c>
      <c r="B4" s="131" t="s">
        <v>183</v>
      </c>
      <c r="C4" s="49"/>
      <c r="D4" s="48"/>
    </row>
    <row r="5" spans="1:4" ht="12.75">
      <c r="A5" s="253">
        <v>5</v>
      </c>
      <c r="B5" s="131" t="s">
        <v>150</v>
      </c>
      <c r="C5" s="49"/>
      <c r="D5" s="48"/>
    </row>
    <row r="6" spans="1:4" ht="12.75">
      <c r="A6" s="253">
        <v>6</v>
      </c>
      <c r="B6" s="131" t="s">
        <v>17</v>
      </c>
      <c r="C6" s="49"/>
      <c r="D6" s="48"/>
    </row>
    <row r="7" spans="1:4" ht="12.75">
      <c r="A7" s="253">
        <v>7</v>
      </c>
      <c r="B7" s="131" t="s">
        <v>85</v>
      </c>
      <c r="C7" s="49"/>
      <c r="D7" s="48"/>
    </row>
    <row r="8" spans="1:4" ht="12.75">
      <c r="A8" s="253">
        <v>8</v>
      </c>
      <c r="B8" s="131" t="s">
        <v>151</v>
      </c>
      <c r="C8" s="49"/>
      <c r="D8" s="48"/>
    </row>
    <row r="9" spans="1:4" ht="12.75">
      <c r="A9" s="253">
        <v>9</v>
      </c>
      <c r="B9" s="131" t="s">
        <v>18</v>
      </c>
      <c r="C9" s="49"/>
      <c r="D9" s="48"/>
    </row>
    <row r="10" spans="1:4" ht="12.75">
      <c r="A10" s="253">
        <v>10</v>
      </c>
      <c r="B10" s="131" t="s">
        <v>19</v>
      </c>
      <c r="C10" s="49"/>
      <c r="D10" s="48"/>
    </row>
    <row r="11" spans="1:4" ht="12.75">
      <c r="A11" s="253">
        <v>11</v>
      </c>
      <c r="B11" s="131" t="s">
        <v>20</v>
      </c>
      <c r="C11" s="49"/>
      <c r="D11" s="48"/>
    </row>
    <row r="12" spans="1:4" ht="12.75">
      <c r="A12" s="253">
        <v>12</v>
      </c>
      <c r="B12" s="131" t="s">
        <v>152</v>
      </c>
      <c r="C12" s="49"/>
      <c r="D12" s="48"/>
    </row>
    <row r="13" spans="1:4" ht="12.75">
      <c r="A13" s="253">
        <v>13</v>
      </c>
      <c r="B13" s="131" t="s">
        <v>110</v>
      </c>
      <c r="C13" s="49"/>
      <c r="D13" s="48"/>
    </row>
    <row r="14" spans="1:4" ht="12.75">
      <c r="A14" s="254">
        <v>14</v>
      </c>
      <c r="B14" s="131" t="s">
        <v>21</v>
      </c>
      <c r="C14" s="49"/>
      <c r="D14" s="48"/>
    </row>
    <row r="15" spans="1:4" ht="12.75">
      <c r="A15" s="253">
        <v>15</v>
      </c>
      <c r="B15" s="131" t="s">
        <v>153</v>
      </c>
      <c r="C15" s="49"/>
      <c r="D15" s="48"/>
    </row>
    <row r="16" spans="1:4" ht="12.75">
      <c r="A16" s="253">
        <v>16</v>
      </c>
      <c r="B16" s="131" t="s">
        <v>184</v>
      </c>
      <c r="C16" s="49"/>
      <c r="D16" s="48"/>
    </row>
    <row r="17" spans="1:4" ht="12.75">
      <c r="A17" s="253">
        <v>17</v>
      </c>
      <c r="B17" s="131" t="s">
        <v>111</v>
      </c>
      <c r="C17" s="49"/>
      <c r="D17" s="48"/>
    </row>
    <row r="18" spans="1:4" ht="12.75">
      <c r="A18" s="254">
        <v>18</v>
      </c>
      <c r="B18" s="131" t="s">
        <v>185</v>
      </c>
      <c r="C18" s="49"/>
      <c r="D18" s="48"/>
    </row>
    <row r="19" spans="1:4" ht="12.75">
      <c r="A19" s="253">
        <v>19</v>
      </c>
      <c r="B19" s="131" t="s">
        <v>186</v>
      </c>
      <c r="C19" s="49"/>
      <c r="D19" s="48"/>
    </row>
    <row r="20" spans="1:4" ht="12.75">
      <c r="A20" s="253">
        <v>20</v>
      </c>
      <c r="B20" s="131" t="s">
        <v>22</v>
      </c>
      <c r="C20" s="47"/>
      <c r="D20" s="48"/>
    </row>
    <row r="21" spans="1:4" ht="12.75">
      <c r="A21" s="253">
        <v>21</v>
      </c>
      <c r="B21" s="131" t="s">
        <v>154</v>
      </c>
      <c r="C21" s="47"/>
      <c r="D21" s="48"/>
    </row>
    <row r="22" spans="1:4" ht="12.75">
      <c r="A22" s="253">
        <v>22</v>
      </c>
      <c r="B22" s="131" t="s">
        <v>187</v>
      </c>
      <c r="C22" s="47"/>
      <c r="D22" s="48"/>
    </row>
    <row r="23" spans="1:4" ht="12.75">
      <c r="A23" s="253">
        <v>23</v>
      </c>
      <c r="B23" s="131" t="s">
        <v>188</v>
      </c>
      <c r="C23" s="47"/>
      <c r="D23" s="48"/>
    </row>
    <row r="24" spans="1:4" ht="12.75">
      <c r="A24" s="253">
        <v>24</v>
      </c>
      <c r="B24" s="131" t="s">
        <v>189</v>
      </c>
      <c r="C24" s="47"/>
      <c r="D24" s="48"/>
    </row>
    <row r="25" spans="1:4" ht="12.75">
      <c r="A25" s="254">
        <v>25</v>
      </c>
      <c r="B25" s="131" t="s">
        <v>190</v>
      </c>
      <c r="C25" s="47"/>
      <c r="D25" s="48"/>
    </row>
    <row r="26" spans="1:4" ht="12.75">
      <c r="A26" s="253">
        <v>26</v>
      </c>
      <c r="B26" s="131" t="s">
        <v>23</v>
      </c>
      <c r="C26" s="47"/>
      <c r="D26" s="48"/>
    </row>
    <row r="27" spans="1:4" ht="12.75">
      <c r="A27" s="253">
        <v>27</v>
      </c>
      <c r="B27" s="131" t="s">
        <v>191</v>
      </c>
      <c r="C27" s="47"/>
      <c r="D27" s="48"/>
    </row>
    <row r="28" spans="1:4" ht="12.75">
      <c r="A28" s="253">
        <v>28</v>
      </c>
      <c r="B28" s="131" t="s">
        <v>24</v>
      </c>
      <c r="C28" s="47"/>
      <c r="D28" s="48"/>
    </row>
    <row r="29" spans="1:4" ht="12.75">
      <c r="A29" s="253">
        <v>29</v>
      </c>
      <c r="B29" s="131" t="s">
        <v>25</v>
      </c>
      <c r="C29" s="47"/>
      <c r="D29" s="48"/>
    </row>
    <row r="30" spans="1:4" ht="12.75">
      <c r="A30" s="253">
        <v>30</v>
      </c>
      <c r="B30" s="131" t="s">
        <v>26</v>
      </c>
      <c r="C30" s="47"/>
      <c r="D30" s="48"/>
    </row>
    <row r="31" spans="1:4" ht="12.75">
      <c r="A31" s="253">
        <v>31</v>
      </c>
      <c r="B31" s="131" t="s">
        <v>27</v>
      </c>
      <c r="C31" s="47"/>
      <c r="D31" s="48"/>
    </row>
    <row r="32" spans="1:4" ht="12.75">
      <c r="A32" s="253">
        <v>32</v>
      </c>
      <c r="B32" s="131" t="s">
        <v>192</v>
      </c>
      <c r="C32" s="47"/>
      <c r="D32" s="48"/>
    </row>
    <row r="33" spans="1:4" ht="12.75">
      <c r="A33" s="253">
        <v>33</v>
      </c>
      <c r="B33" s="131" t="s">
        <v>193</v>
      </c>
      <c r="C33" s="47"/>
      <c r="D33" s="48"/>
    </row>
    <row r="34" spans="1:4" ht="12.75">
      <c r="A34" s="253">
        <v>34</v>
      </c>
      <c r="B34" s="131" t="s">
        <v>194</v>
      </c>
      <c r="C34" s="47"/>
      <c r="D34" s="48"/>
    </row>
    <row r="35" spans="1:4" ht="12.75">
      <c r="A35" s="253">
        <v>35</v>
      </c>
      <c r="B35" s="131" t="s">
        <v>195</v>
      </c>
      <c r="C35" s="47"/>
      <c r="D35" s="48"/>
    </row>
    <row r="36" spans="1:4" ht="12.75">
      <c r="A36" s="253">
        <v>36</v>
      </c>
      <c r="B36" s="131" t="s">
        <v>86</v>
      </c>
      <c r="C36" s="47"/>
      <c r="D36" s="48"/>
    </row>
    <row r="37" spans="1:4" ht="12.75">
      <c r="A37" s="253">
        <v>37</v>
      </c>
      <c r="B37" s="131" t="s">
        <v>196</v>
      </c>
      <c r="C37" s="47"/>
      <c r="D37" s="48"/>
    </row>
    <row r="38" spans="1:4" ht="12.75">
      <c r="A38" s="253">
        <v>38</v>
      </c>
      <c r="B38" s="131" t="s">
        <v>197</v>
      </c>
      <c r="C38" s="47"/>
      <c r="D38" s="48"/>
    </row>
    <row r="39" spans="1:4" ht="12.75">
      <c r="A39" s="253">
        <v>39</v>
      </c>
      <c r="B39" s="131" t="s">
        <v>198</v>
      </c>
      <c r="C39" s="49"/>
      <c r="D39" s="48"/>
    </row>
    <row r="40" spans="1:4" ht="12.75">
      <c r="A40" s="253">
        <v>40</v>
      </c>
      <c r="B40" s="131" t="s">
        <v>199</v>
      </c>
      <c r="C40" s="49"/>
      <c r="D40" s="48"/>
    </row>
    <row r="41" spans="1:4" ht="12.75">
      <c r="A41" s="253">
        <v>41</v>
      </c>
      <c r="B41" s="131" t="s">
        <v>200</v>
      </c>
      <c r="C41" s="49"/>
      <c r="D41" s="48"/>
    </row>
    <row r="42" spans="1:4" ht="12.75">
      <c r="A42" s="253">
        <v>42</v>
      </c>
      <c r="B42" s="131" t="s">
        <v>201</v>
      </c>
      <c r="C42" s="49"/>
      <c r="D42" s="48"/>
    </row>
    <row r="43" spans="1:4" ht="14.25" customHeight="1">
      <c r="A43" s="253">
        <v>43</v>
      </c>
      <c r="B43" s="131" t="s">
        <v>155</v>
      </c>
      <c r="C43" s="49"/>
      <c r="D43" s="48"/>
    </row>
    <row r="44" spans="1:4" ht="14.25" customHeight="1">
      <c r="A44" s="253">
        <v>44</v>
      </c>
      <c r="B44" s="131" t="s">
        <v>156</v>
      </c>
      <c r="C44" s="49"/>
      <c r="D44" s="48"/>
    </row>
    <row r="45" spans="1:4" ht="12.75">
      <c r="A45" s="254">
        <v>45</v>
      </c>
      <c r="B45" s="131" t="s">
        <v>217</v>
      </c>
      <c r="C45" s="49"/>
      <c r="D45" s="48"/>
    </row>
    <row r="46" spans="1:4" ht="12.75">
      <c r="A46" s="253">
        <v>46</v>
      </c>
      <c r="B46" s="131" t="s">
        <v>28</v>
      </c>
      <c r="C46" s="49"/>
      <c r="D46" s="48"/>
    </row>
    <row r="47" spans="1:4" ht="12.75">
      <c r="A47" s="254">
        <v>47</v>
      </c>
      <c r="B47" s="131" t="s">
        <v>99</v>
      </c>
      <c r="C47" s="49"/>
      <c r="D47" s="48"/>
    </row>
    <row r="48" spans="1:4" ht="12.75">
      <c r="A48" s="253">
        <v>48</v>
      </c>
      <c r="B48" s="131" t="s">
        <v>29</v>
      </c>
      <c r="C48" s="49"/>
      <c r="D48" s="48"/>
    </row>
    <row r="49" spans="1:4" ht="12.75">
      <c r="A49" s="253">
        <v>49</v>
      </c>
      <c r="B49" s="131" t="s">
        <v>30</v>
      </c>
      <c r="C49" s="49"/>
      <c r="D49" s="48"/>
    </row>
    <row r="50" spans="1:4" ht="12.75">
      <c r="A50" s="253">
        <v>50</v>
      </c>
      <c r="B50" s="131" t="s">
        <v>31</v>
      </c>
      <c r="C50" s="49"/>
      <c r="D50" s="48"/>
    </row>
    <row r="51" spans="1:4" ht="12.75">
      <c r="A51" s="253">
        <v>51</v>
      </c>
      <c r="B51" s="131" t="s">
        <v>32</v>
      </c>
      <c r="C51" s="49"/>
      <c r="D51" s="48"/>
    </row>
    <row r="52" spans="1:4" ht="12.75">
      <c r="A52" s="253">
        <v>52</v>
      </c>
      <c r="B52" s="131" t="s">
        <v>157</v>
      </c>
      <c r="C52" s="49"/>
      <c r="D52" s="48"/>
    </row>
    <row r="53" spans="1:4" ht="12.75">
      <c r="A53" s="253">
        <v>53</v>
      </c>
      <c r="B53" s="131" t="s">
        <v>75</v>
      </c>
      <c r="C53" s="49"/>
      <c r="D53" s="48"/>
    </row>
    <row r="54" spans="1:4" ht="12.75">
      <c r="A54" s="253">
        <v>54</v>
      </c>
      <c r="B54" s="131" t="s">
        <v>33</v>
      </c>
      <c r="C54" s="49"/>
      <c r="D54" s="48"/>
    </row>
    <row r="55" spans="1:4" ht="12.75">
      <c r="A55" s="253">
        <v>55</v>
      </c>
      <c r="B55" s="131" t="s">
        <v>76</v>
      </c>
      <c r="C55" s="49"/>
      <c r="D55" s="48"/>
    </row>
    <row r="56" spans="1:4" ht="12.75">
      <c r="A56" s="253">
        <v>56</v>
      </c>
      <c r="B56" s="131" t="s">
        <v>34</v>
      </c>
      <c r="C56" s="49"/>
      <c r="D56" s="48"/>
    </row>
    <row r="57" spans="1:4" ht="12.75">
      <c r="A57" s="253">
        <v>57</v>
      </c>
      <c r="B57" s="131" t="s">
        <v>158</v>
      </c>
      <c r="C57" s="49"/>
      <c r="D57" s="48"/>
    </row>
    <row r="58" spans="1:4" ht="12.75">
      <c r="A58" s="253">
        <v>58</v>
      </c>
      <c r="B58" s="131" t="s">
        <v>35</v>
      </c>
      <c r="C58" s="49"/>
      <c r="D58" s="48"/>
    </row>
    <row r="59" spans="1:4" ht="12.75">
      <c r="A59" s="253">
        <v>59</v>
      </c>
      <c r="B59" s="131" t="s">
        <v>202</v>
      </c>
      <c r="C59" s="49"/>
      <c r="D59" s="48"/>
    </row>
    <row r="60" spans="1:4" ht="12.75">
      <c r="A60" s="253">
        <v>60</v>
      </c>
      <c r="B60" s="131" t="s">
        <v>112</v>
      </c>
      <c r="C60" s="49"/>
      <c r="D60" s="48"/>
    </row>
    <row r="61" spans="1:4" ht="12.75">
      <c r="A61" s="253">
        <v>61</v>
      </c>
      <c r="B61" s="131" t="s">
        <v>263</v>
      </c>
      <c r="C61" s="49"/>
      <c r="D61" s="48"/>
    </row>
    <row r="62" spans="1:4" ht="12.75">
      <c r="A62" s="253">
        <v>62</v>
      </c>
      <c r="B62" s="131" t="s">
        <v>104</v>
      </c>
      <c r="C62" s="49"/>
      <c r="D62" s="48"/>
    </row>
    <row r="63" spans="1:4" ht="12.75">
      <c r="A63" s="253">
        <v>63</v>
      </c>
      <c r="B63" s="131" t="s">
        <v>36</v>
      </c>
      <c r="C63" s="49"/>
      <c r="D63" s="48"/>
    </row>
    <row r="64" spans="1:4" ht="12.75">
      <c r="A64" s="254">
        <v>64</v>
      </c>
      <c r="B64" s="131" t="s">
        <v>218</v>
      </c>
      <c r="C64" s="49"/>
      <c r="D64" s="48"/>
    </row>
    <row r="65" spans="1:4" ht="12.75">
      <c r="A65" s="253">
        <v>65</v>
      </c>
      <c r="B65" s="131" t="s">
        <v>159</v>
      </c>
      <c r="C65" s="49"/>
      <c r="D65" s="48"/>
    </row>
    <row r="66" spans="1:4" ht="12.75">
      <c r="A66" s="253">
        <v>66</v>
      </c>
      <c r="B66" s="131" t="s">
        <v>37</v>
      </c>
      <c r="C66" s="49"/>
      <c r="D66" s="48"/>
    </row>
    <row r="67" spans="1:4" ht="12.75">
      <c r="A67" s="253">
        <v>67</v>
      </c>
      <c r="B67" s="131" t="s">
        <v>38</v>
      </c>
      <c r="C67" s="49"/>
      <c r="D67" s="48"/>
    </row>
    <row r="68" spans="1:4" ht="12.75">
      <c r="A68" s="253">
        <v>68</v>
      </c>
      <c r="B68" s="131" t="s">
        <v>39</v>
      </c>
      <c r="C68" s="50"/>
      <c r="D68" s="48"/>
    </row>
    <row r="69" spans="1:4" ht="12.75">
      <c r="A69" s="254">
        <v>69</v>
      </c>
      <c r="B69" s="131" t="s">
        <v>219</v>
      </c>
      <c r="C69" s="50"/>
      <c r="D69" s="48"/>
    </row>
    <row r="70" spans="1:4" ht="12.75">
      <c r="A70" s="254">
        <v>70</v>
      </c>
      <c r="B70" s="131" t="s">
        <v>207</v>
      </c>
      <c r="C70" s="50"/>
      <c r="D70" s="48"/>
    </row>
    <row r="71" spans="1:4" ht="12.75">
      <c r="A71" s="253">
        <v>71</v>
      </c>
      <c r="B71" s="131" t="s">
        <v>40</v>
      </c>
      <c r="C71" s="50"/>
      <c r="D71" s="48"/>
    </row>
    <row r="72" spans="1:4" ht="12.75">
      <c r="A72" s="254">
        <v>72</v>
      </c>
      <c r="B72" s="131" t="s">
        <v>220</v>
      </c>
      <c r="C72" s="50"/>
      <c r="D72" s="48"/>
    </row>
    <row r="73" spans="1:4" ht="12.75">
      <c r="A73" s="253">
        <v>73</v>
      </c>
      <c r="B73" s="131" t="s">
        <v>160</v>
      </c>
      <c r="C73" s="49"/>
      <c r="D73" s="48"/>
    </row>
    <row r="74" spans="1:4" ht="12.75">
      <c r="A74" s="253">
        <v>74</v>
      </c>
      <c r="B74" s="131" t="s">
        <v>41</v>
      </c>
      <c r="C74" s="49"/>
      <c r="D74" s="48"/>
    </row>
    <row r="75" spans="1:4" ht="12.75">
      <c r="A75" s="253">
        <v>75</v>
      </c>
      <c r="B75" s="131" t="s">
        <v>161</v>
      </c>
      <c r="C75" s="49"/>
      <c r="D75" s="48"/>
    </row>
    <row r="76" spans="1:4" ht="12.75">
      <c r="A76" s="253">
        <v>76</v>
      </c>
      <c r="B76" s="131" t="s">
        <v>162</v>
      </c>
      <c r="C76" s="49"/>
      <c r="D76" s="48"/>
    </row>
    <row r="77" spans="1:4" ht="12.75">
      <c r="A77" s="253">
        <v>77</v>
      </c>
      <c r="B77" s="131" t="s">
        <v>42</v>
      </c>
      <c r="C77" s="49"/>
      <c r="D77" s="48"/>
    </row>
    <row r="78" spans="1:4" ht="12.75">
      <c r="A78" s="253">
        <v>78</v>
      </c>
      <c r="B78" s="131" t="s">
        <v>95</v>
      </c>
      <c r="C78" s="49"/>
      <c r="D78" s="48"/>
    </row>
    <row r="79" spans="1:4" ht="12.75">
      <c r="A79" s="253">
        <v>79</v>
      </c>
      <c r="B79" s="131" t="s">
        <v>59</v>
      </c>
      <c r="C79" s="49"/>
      <c r="D79" s="48"/>
    </row>
    <row r="80" spans="1:4" ht="12.75">
      <c r="A80" s="253">
        <v>80</v>
      </c>
      <c r="B80" s="131" t="s">
        <v>43</v>
      </c>
      <c r="C80" s="49"/>
      <c r="D80" s="48"/>
    </row>
    <row r="81" spans="1:4" ht="12.75">
      <c r="A81" s="253">
        <v>81</v>
      </c>
      <c r="B81" s="131" t="s">
        <v>44</v>
      </c>
      <c r="C81" s="50"/>
      <c r="D81" s="48"/>
    </row>
    <row r="82" spans="1:4" ht="12.75">
      <c r="A82" s="253">
        <v>82</v>
      </c>
      <c r="B82" s="131" t="s">
        <v>119</v>
      </c>
      <c r="C82" s="49"/>
      <c r="D82" s="48"/>
    </row>
    <row r="83" spans="1:4" ht="12.75">
      <c r="A83" s="253">
        <v>83</v>
      </c>
      <c r="B83" s="131" t="s">
        <v>58</v>
      </c>
      <c r="C83" s="49"/>
      <c r="D83" s="48"/>
    </row>
    <row r="84" spans="1:4" ht="12.75">
      <c r="A84" s="253">
        <v>84</v>
      </c>
      <c r="B84" s="131" t="s">
        <v>163</v>
      </c>
      <c r="C84" s="49"/>
      <c r="D84" s="48"/>
    </row>
    <row r="85" spans="1:4" ht="12.75">
      <c r="A85" s="253">
        <v>85</v>
      </c>
      <c r="B85" s="131" t="s">
        <v>45</v>
      </c>
      <c r="C85" s="49"/>
      <c r="D85" s="48"/>
    </row>
    <row r="86" spans="1:4" ht="12.75">
      <c r="A86" s="253">
        <v>86</v>
      </c>
      <c r="B86" s="131" t="s">
        <v>46</v>
      </c>
      <c r="C86" s="49"/>
      <c r="D86" s="48"/>
    </row>
    <row r="87" spans="1:4" ht="12.75">
      <c r="A87" s="254">
        <v>87</v>
      </c>
      <c r="B87" s="131" t="s">
        <v>221</v>
      </c>
      <c r="C87" s="50"/>
      <c r="D87" s="48"/>
    </row>
    <row r="88" spans="1:4" ht="12.75">
      <c r="A88" s="253">
        <v>88</v>
      </c>
      <c r="B88" s="131" t="s">
        <v>203</v>
      </c>
      <c r="C88" s="49"/>
      <c r="D88" s="48"/>
    </row>
    <row r="89" spans="1:4" ht="12.75">
      <c r="A89" s="253">
        <v>89</v>
      </c>
      <c r="B89" s="131" t="s">
        <v>204</v>
      </c>
      <c r="C89" s="49"/>
      <c r="D89" s="48"/>
    </row>
    <row r="90" spans="1:4" ht="12.75">
      <c r="A90" s="254">
        <v>90</v>
      </c>
      <c r="B90" s="131" t="s">
        <v>71</v>
      </c>
      <c r="C90" s="49"/>
      <c r="D90" s="48"/>
    </row>
    <row r="91" spans="1:4" ht="12.75">
      <c r="A91" s="253">
        <v>91</v>
      </c>
      <c r="B91" s="131" t="s">
        <v>47</v>
      </c>
      <c r="C91" s="49"/>
      <c r="D91" s="48"/>
    </row>
    <row r="92" spans="1:4" ht="12.75">
      <c r="A92" s="253">
        <v>92</v>
      </c>
      <c r="B92" s="131" t="s">
        <v>48</v>
      </c>
      <c r="C92" s="49"/>
      <c r="D92" s="48"/>
    </row>
    <row r="93" spans="1:4" ht="12.75">
      <c r="A93" s="253">
        <v>93</v>
      </c>
      <c r="B93" s="131" t="s">
        <v>140</v>
      </c>
      <c r="C93" s="49"/>
      <c r="D93" s="48"/>
    </row>
    <row r="94" spans="1:4" ht="12.75">
      <c r="A94" s="253">
        <v>94</v>
      </c>
      <c r="B94" s="131" t="s">
        <v>264</v>
      </c>
      <c r="C94" s="49"/>
      <c r="D94" s="48"/>
    </row>
    <row r="95" spans="1:4" ht="12.75">
      <c r="A95" s="254">
        <v>95</v>
      </c>
      <c r="B95" s="131" t="s">
        <v>222</v>
      </c>
      <c r="C95" s="49"/>
      <c r="D95" s="48"/>
    </row>
    <row r="96" spans="1:4" ht="12.75">
      <c r="A96" s="253">
        <v>96</v>
      </c>
      <c r="B96" s="131" t="s">
        <v>49</v>
      </c>
      <c r="C96" s="49"/>
      <c r="D96" s="48"/>
    </row>
    <row r="97" spans="1:4" ht="12.75">
      <c r="A97" s="254">
        <v>97</v>
      </c>
      <c r="B97" s="131" t="s">
        <v>211</v>
      </c>
      <c r="C97" s="49"/>
      <c r="D97" s="48"/>
    </row>
    <row r="98" spans="1:4" ht="12.75">
      <c r="A98" s="253">
        <v>98</v>
      </c>
      <c r="B98" s="131" t="s">
        <v>265</v>
      </c>
      <c r="C98" s="49"/>
      <c r="D98" s="48"/>
    </row>
    <row r="99" spans="1:4" ht="12.75">
      <c r="A99" s="253">
        <v>99</v>
      </c>
      <c r="B99" s="131" t="s">
        <v>113</v>
      </c>
      <c r="C99" s="49"/>
      <c r="D99" s="48"/>
    </row>
    <row r="100" spans="1:4" ht="12.75">
      <c r="A100" s="254">
        <v>100</v>
      </c>
      <c r="B100" s="131" t="s">
        <v>223</v>
      </c>
      <c r="C100" s="49"/>
      <c r="D100" s="48"/>
    </row>
    <row r="101" spans="1:4" ht="12.75">
      <c r="A101" s="253">
        <v>101</v>
      </c>
      <c r="B101" s="131" t="s">
        <v>147</v>
      </c>
      <c r="C101" s="49"/>
      <c r="D101" s="48"/>
    </row>
    <row r="102" spans="1:4" ht="12.75">
      <c r="A102" s="254">
        <v>102</v>
      </c>
      <c r="B102" s="131" t="s">
        <v>224</v>
      </c>
      <c r="C102" s="49"/>
      <c r="D102" s="48"/>
    </row>
    <row r="103" spans="1:4" ht="12.75">
      <c r="A103" s="253">
        <v>103</v>
      </c>
      <c r="B103" s="131" t="s">
        <v>148</v>
      </c>
      <c r="C103" s="49"/>
      <c r="D103" s="48"/>
    </row>
    <row r="104" spans="1:4" ht="12.75">
      <c r="A104" s="253">
        <v>104</v>
      </c>
      <c r="B104" s="131" t="s">
        <v>77</v>
      </c>
      <c r="C104" s="49"/>
      <c r="D104" s="48"/>
    </row>
    <row r="105" spans="1:4" ht="12.75">
      <c r="A105" s="253">
        <v>105</v>
      </c>
      <c r="B105" s="131" t="s">
        <v>78</v>
      </c>
      <c r="C105" s="49"/>
      <c r="D105" s="48"/>
    </row>
    <row r="106" spans="1:4" ht="12.75">
      <c r="A106" s="253">
        <v>106</v>
      </c>
      <c r="B106" s="131" t="s">
        <v>50</v>
      </c>
      <c r="C106" s="49"/>
      <c r="D106" s="48"/>
    </row>
    <row r="107" spans="1:4" ht="12.75">
      <c r="A107" s="254">
        <v>107</v>
      </c>
      <c r="B107" s="131" t="s">
        <v>241</v>
      </c>
      <c r="C107" s="49"/>
      <c r="D107" s="48"/>
    </row>
    <row r="108" spans="1:4" ht="12.75">
      <c r="A108" s="253">
        <v>108</v>
      </c>
      <c r="B108" s="131" t="s">
        <v>164</v>
      </c>
      <c r="C108" s="49"/>
      <c r="D108" s="48"/>
    </row>
    <row r="109" spans="1:4" ht="12.75">
      <c r="A109" s="253">
        <v>109</v>
      </c>
      <c r="B109" s="131" t="s">
        <v>165</v>
      </c>
      <c r="C109" s="49"/>
      <c r="D109" s="48"/>
    </row>
    <row r="110" spans="1:4" ht="12.75">
      <c r="A110" s="253">
        <v>110</v>
      </c>
      <c r="B110" s="131" t="s">
        <v>83</v>
      </c>
      <c r="C110" s="49"/>
      <c r="D110" s="48"/>
    </row>
    <row r="111" spans="1:4" ht="12.75">
      <c r="A111" s="253">
        <v>111</v>
      </c>
      <c r="B111" s="131" t="s">
        <v>79</v>
      </c>
      <c r="C111" s="49"/>
      <c r="D111" s="48"/>
    </row>
    <row r="112" spans="1:4" ht="12.75">
      <c r="A112" s="253">
        <v>112</v>
      </c>
      <c r="B112" s="131" t="s">
        <v>80</v>
      </c>
      <c r="C112" s="49"/>
      <c r="D112" s="48"/>
    </row>
    <row r="113" spans="1:4" ht="12.75">
      <c r="A113" s="253">
        <v>113</v>
      </c>
      <c r="B113" s="131" t="s">
        <v>166</v>
      </c>
      <c r="C113" s="49"/>
      <c r="D113" s="48"/>
    </row>
    <row r="114" spans="1:4" ht="12.75">
      <c r="A114" s="253">
        <v>114</v>
      </c>
      <c r="B114" s="131" t="s">
        <v>167</v>
      </c>
      <c r="C114" s="49"/>
      <c r="D114" s="48"/>
    </row>
    <row r="115" spans="1:4" ht="12.75">
      <c r="A115" s="253">
        <v>115</v>
      </c>
      <c r="B115" s="131" t="s">
        <v>114</v>
      </c>
      <c r="C115" s="49"/>
      <c r="D115" s="48"/>
    </row>
    <row r="116" spans="1:4" ht="12.75">
      <c r="A116" s="253">
        <v>116</v>
      </c>
      <c r="B116" s="131" t="s">
        <v>141</v>
      </c>
      <c r="C116" s="50"/>
      <c r="D116" s="48"/>
    </row>
    <row r="117" spans="1:4" ht="12.75">
      <c r="A117" s="254">
        <v>117</v>
      </c>
      <c r="B117" s="131" t="s">
        <v>242</v>
      </c>
      <c r="C117" s="49"/>
      <c r="D117" s="48"/>
    </row>
    <row r="118" spans="1:4" ht="12.75">
      <c r="A118" s="254">
        <v>118</v>
      </c>
      <c r="B118" s="131" t="s">
        <v>225</v>
      </c>
      <c r="C118" s="49"/>
      <c r="D118" s="48"/>
    </row>
    <row r="119" spans="1:4" ht="12.75">
      <c r="A119" s="253">
        <v>119</v>
      </c>
      <c r="B119" s="131" t="s">
        <v>87</v>
      </c>
      <c r="C119" s="49"/>
      <c r="D119" s="48"/>
    </row>
    <row r="120" spans="1:4" ht="12.75">
      <c r="A120" s="253">
        <v>120</v>
      </c>
      <c r="B120" s="131" t="s">
        <v>168</v>
      </c>
      <c r="C120" s="49"/>
      <c r="D120" s="48"/>
    </row>
    <row r="121" spans="1:4" ht="12.75">
      <c r="A121" s="253">
        <v>121</v>
      </c>
      <c r="B121" s="131" t="s">
        <v>51</v>
      </c>
      <c r="C121" s="49"/>
      <c r="D121" s="48"/>
    </row>
    <row r="122" spans="1:4" ht="12.75">
      <c r="A122" s="253">
        <v>122</v>
      </c>
      <c r="B122" s="131" t="s">
        <v>88</v>
      </c>
      <c r="C122" s="49"/>
      <c r="D122" s="48"/>
    </row>
    <row r="123" spans="1:4" ht="12.75">
      <c r="A123" s="253">
        <v>123</v>
      </c>
      <c r="B123" s="131" t="s">
        <v>52</v>
      </c>
      <c r="C123" s="49"/>
      <c r="D123" s="48"/>
    </row>
    <row r="124" spans="1:4" ht="12.75">
      <c r="A124" s="253">
        <v>124</v>
      </c>
      <c r="B124" s="131" t="s">
        <v>205</v>
      </c>
      <c r="C124" s="49"/>
      <c r="D124" s="48"/>
    </row>
    <row r="125" spans="1:4" ht="12.75">
      <c r="A125" s="253">
        <v>125</v>
      </c>
      <c r="B125" s="131" t="s">
        <v>292</v>
      </c>
      <c r="C125" s="49"/>
      <c r="D125" s="48"/>
    </row>
    <row r="126" spans="1:4" ht="12.75">
      <c r="A126" s="253">
        <v>126</v>
      </c>
      <c r="B126" s="131" t="s">
        <v>53</v>
      </c>
      <c r="C126" s="49"/>
      <c r="D126" s="48"/>
    </row>
    <row r="127" spans="1:4" ht="12.75">
      <c r="A127" s="254">
        <v>127</v>
      </c>
      <c r="B127" s="131" t="s">
        <v>226</v>
      </c>
      <c r="C127" s="49"/>
      <c r="D127" s="48"/>
    </row>
    <row r="128" spans="1:4" ht="12.75">
      <c r="A128" s="254">
        <v>128</v>
      </c>
      <c r="B128" s="131" t="s">
        <v>227</v>
      </c>
      <c r="C128" s="49"/>
      <c r="D128" s="48"/>
    </row>
    <row r="129" spans="1:4" ht="12.75">
      <c r="A129" s="253">
        <v>129</v>
      </c>
      <c r="B129" s="131" t="s">
        <v>54</v>
      </c>
      <c r="C129" s="49"/>
      <c r="D129" s="48"/>
    </row>
    <row r="130" spans="1:4" ht="12.75">
      <c r="A130" s="253">
        <v>130</v>
      </c>
      <c r="B130" s="131" t="s">
        <v>74</v>
      </c>
      <c r="C130" s="49"/>
      <c r="D130" s="48"/>
    </row>
    <row r="131" spans="1:4" ht="12.75">
      <c r="A131" s="253">
        <v>131</v>
      </c>
      <c r="B131" s="131" t="s">
        <v>72</v>
      </c>
      <c r="C131" s="49"/>
      <c r="D131" s="48"/>
    </row>
    <row r="132" spans="1:4" ht="12.75">
      <c r="A132" s="253">
        <v>132</v>
      </c>
      <c r="B132" s="131" t="s">
        <v>68</v>
      </c>
      <c r="C132" s="49"/>
      <c r="D132" s="48"/>
    </row>
    <row r="133" spans="1:4" ht="12.75">
      <c r="A133" s="254">
        <v>133</v>
      </c>
      <c r="B133" s="131" t="s">
        <v>228</v>
      </c>
      <c r="C133" s="50"/>
      <c r="D133" s="48"/>
    </row>
    <row r="134" spans="1:4" ht="12.75">
      <c r="A134" s="254">
        <v>134</v>
      </c>
      <c r="B134" s="131" t="s">
        <v>229</v>
      </c>
      <c r="C134" s="50"/>
      <c r="D134" s="48"/>
    </row>
    <row r="135" spans="1:4" ht="12.75">
      <c r="A135" s="253">
        <v>135</v>
      </c>
      <c r="B135" s="131" t="s">
        <v>100</v>
      </c>
      <c r="C135" s="50"/>
      <c r="D135" s="48"/>
    </row>
    <row r="136" spans="1:4" ht="12.75">
      <c r="A136" s="254">
        <v>136</v>
      </c>
      <c r="B136" s="131" t="s">
        <v>230</v>
      </c>
      <c r="C136" s="50"/>
      <c r="D136" s="48"/>
    </row>
    <row r="137" spans="1:4" ht="12.75">
      <c r="A137" s="253">
        <v>137</v>
      </c>
      <c r="B137" s="131" t="s">
        <v>55</v>
      </c>
      <c r="C137" s="50"/>
      <c r="D137" s="48"/>
    </row>
    <row r="138" spans="1:4" ht="12.75">
      <c r="A138" s="254">
        <v>138</v>
      </c>
      <c r="B138" s="131" t="s">
        <v>169</v>
      </c>
      <c r="C138" s="50"/>
      <c r="D138" s="48"/>
    </row>
    <row r="139" spans="1:4" ht="12.75">
      <c r="A139" s="253">
        <v>139</v>
      </c>
      <c r="B139" s="131" t="s">
        <v>170</v>
      </c>
      <c r="C139" s="50"/>
      <c r="D139" s="48"/>
    </row>
    <row r="140" spans="1:4" ht="12.75">
      <c r="A140" s="254">
        <v>140</v>
      </c>
      <c r="B140" s="131" t="s">
        <v>231</v>
      </c>
      <c r="C140" s="50"/>
      <c r="D140" s="48"/>
    </row>
    <row r="141" spans="1:4" ht="12.75">
      <c r="A141" s="253">
        <v>141</v>
      </c>
      <c r="B141" s="131" t="s">
        <v>171</v>
      </c>
      <c r="C141" s="50"/>
      <c r="D141" s="48"/>
    </row>
    <row r="142" spans="1:4" ht="12.75">
      <c r="A142" s="253">
        <v>142</v>
      </c>
      <c r="B142" s="131" t="s">
        <v>172</v>
      </c>
      <c r="C142" s="50"/>
      <c r="D142" s="48"/>
    </row>
    <row r="143" spans="1:4" ht="12.75">
      <c r="A143" s="253">
        <v>143</v>
      </c>
      <c r="B143" s="131" t="s">
        <v>173</v>
      </c>
      <c r="C143" s="50"/>
      <c r="D143" s="48"/>
    </row>
    <row r="144" spans="1:2" ht="12.75">
      <c r="A144" s="254">
        <v>144</v>
      </c>
      <c r="B144" s="131" t="s">
        <v>243</v>
      </c>
    </row>
    <row r="145" spans="1:2" ht="12.75">
      <c r="A145" s="253">
        <v>145</v>
      </c>
      <c r="B145" s="131" t="s">
        <v>120</v>
      </c>
    </row>
    <row r="146" spans="1:2" ht="12.75">
      <c r="A146" s="253">
        <v>146</v>
      </c>
      <c r="B146" s="131" t="s">
        <v>73</v>
      </c>
    </row>
    <row r="147" spans="1:2" ht="12.75">
      <c r="A147" s="253">
        <v>147</v>
      </c>
      <c r="B147" s="131" t="s">
        <v>174</v>
      </c>
    </row>
    <row r="148" spans="1:2" ht="12.75">
      <c r="A148" s="253">
        <v>148</v>
      </c>
      <c r="B148" s="131" t="s">
        <v>175</v>
      </c>
    </row>
    <row r="149" spans="1:2" ht="12.75">
      <c r="A149" s="253">
        <v>149</v>
      </c>
      <c r="B149" s="131" t="s">
        <v>101</v>
      </c>
    </row>
    <row r="150" spans="1:2" ht="12.75">
      <c r="A150" s="253">
        <v>150</v>
      </c>
      <c r="B150" s="131" t="s">
        <v>176</v>
      </c>
    </row>
    <row r="151" spans="1:2" ht="12.75">
      <c r="A151" s="253">
        <v>151</v>
      </c>
      <c r="B151" s="131" t="s">
        <v>177</v>
      </c>
    </row>
    <row r="152" spans="1:2" ht="12.75">
      <c r="A152" s="253">
        <v>152</v>
      </c>
      <c r="B152" s="131" t="s">
        <v>178</v>
      </c>
    </row>
    <row r="153" spans="1:2" ht="12.75">
      <c r="A153" s="253">
        <v>153</v>
      </c>
      <c r="B153" s="131" t="s">
        <v>121</v>
      </c>
    </row>
    <row r="154" spans="1:2" ht="12.75">
      <c r="A154" s="254">
        <v>154</v>
      </c>
      <c r="B154" s="131" t="s">
        <v>179</v>
      </c>
    </row>
    <row r="155" spans="1:2" ht="12.75">
      <c r="A155" s="253">
        <v>155</v>
      </c>
      <c r="B155" s="131" t="s">
        <v>115</v>
      </c>
    </row>
    <row r="156" spans="1:2" ht="12.75">
      <c r="A156" s="253">
        <v>156</v>
      </c>
      <c r="B156" s="131" t="s">
        <v>89</v>
      </c>
    </row>
    <row r="157" spans="1:2" ht="12.75">
      <c r="A157" s="253">
        <v>157</v>
      </c>
      <c r="B157" s="131" t="s">
        <v>122</v>
      </c>
    </row>
    <row r="158" spans="1:2" ht="12.75">
      <c r="A158" s="253">
        <v>158</v>
      </c>
      <c r="B158" s="131" t="s">
        <v>180</v>
      </c>
    </row>
    <row r="159" spans="1:2" ht="12.75">
      <c r="A159" s="254">
        <v>159</v>
      </c>
      <c r="B159" s="131" t="s">
        <v>244</v>
      </c>
    </row>
    <row r="160" spans="1:2" ht="12.75">
      <c r="A160" s="253">
        <v>160</v>
      </c>
      <c r="B160" s="131" t="s">
        <v>142</v>
      </c>
    </row>
    <row r="161" spans="1:2" ht="12.75">
      <c r="A161" s="253">
        <v>161</v>
      </c>
      <c r="B161" s="131" t="s">
        <v>90</v>
      </c>
    </row>
    <row r="162" spans="1:2" ht="12.75">
      <c r="A162" s="254">
        <v>162</v>
      </c>
      <c r="B162" s="131" t="s">
        <v>232</v>
      </c>
    </row>
    <row r="163" spans="1:2" ht="12.75">
      <c r="A163" s="253">
        <v>163</v>
      </c>
      <c r="B163" s="131" t="s">
        <v>123</v>
      </c>
    </row>
    <row r="164" spans="1:2" ht="12.75">
      <c r="A164" s="253">
        <v>164</v>
      </c>
      <c r="B164" s="131" t="s">
        <v>91</v>
      </c>
    </row>
    <row r="165" spans="1:2" ht="12.75">
      <c r="A165" s="253">
        <v>165</v>
      </c>
      <c r="B165" s="131" t="s">
        <v>96</v>
      </c>
    </row>
    <row r="166" spans="1:2" ht="12.75">
      <c r="A166" s="253">
        <v>166</v>
      </c>
      <c r="B166" s="131" t="s">
        <v>97</v>
      </c>
    </row>
    <row r="167" spans="1:2" ht="12.75">
      <c r="A167" s="253">
        <v>167</v>
      </c>
      <c r="B167" s="131" t="s">
        <v>92</v>
      </c>
    </row>
    <row r="168" spans="1:2" ht="12.75">
      <c r="A168" s="254">
        <v>168</v>
      </c>
      <c r="B168" s="131" t="s">
        <v>233</v>
      </c>
    </row>
    <row r="169" spans="1:2" ht="12.75">
      <c r="A169" s="253">
        <v>169</v>
      </c>
      <c r="B169" s="131" t="s">
        <v>93</v>
      </c>
    </row>
    <row r="170" spans="1:2" ht="12.75">
      <c r="A170" s="253">
        <v>170</v>
      </c>
      <c r="B170" s="131" t="s">
        <v>116</v>
      </c>
    </row>
    <row r="171" spans="1:2" ht="12.75">
      <c r="A171" s="254">
        <v>171</v>
      </c>
      <c r="B171" s="131" t="s">
        <v>234</v>
      </c>
    </row>
    <row r="172" spans="1:2" ht="12.75">
      <c r="A172" s="254">
        <v>172</v>
      </c>
      <c r="B172" s="131" t="s">
        <v>235</v>
      </c>
    </row>
    <row r="173" spans="1:2" ht="12.75">
      <c r="A173" s="253">
        <v>173</v>
      </c>
      <c r="B173" s="131" t="s">
        <v>181</v>
      </c>
    </row>
    <row r="174" spans="1:2" ht="12.75">
      <c r="A174" s="253">
        <v>174</v>
      </c>
      <c r="B174" s="131" t="s">
        <v>124</v>
      </c>
    </row>
    <row r="175" spans="1:2" ht="12.75">
      <c r="A175" s="254">
        <v>175</v>
      </c>
      <c r="B175" s="131" t="s">
        <v>236</v>
      </c>
    </row>
    <row r="176" spans="1:2" ht="12.75">
      <c r="A176" s="254">
        <v>176</v>
      </c>
      <c r="B176" s="131" t="s">
        <v>245</v>
      </c>
    </row>
    <row r="177" spans="1:2" ht="12.75">
      <c r="A177" s="254">
        <v>177</v>
      </c>
      <c r="B177" s="131" t="s">
        <v>246</v>
      </c>
    </row>
    <row r="178" spans="1:2" ht="12.75">
      <c r="A178" s="253">
        <v>178</v>
      </c>
      <c r="B178" s="131" t="s">
        <v>182</v>
      </c>
    </row>
    <row r="179" spans="1:2" ht="12.75">
      <c r="A179" s="253">
        <v>179</v>
      </c>
      <c r="B179" s="131" t="s">
        <v>125</v>
      </c>
    </row>
    <row r="180" spans="1:2" ht="12.75">
      <c r="A180" s="253">
        <v>180</v>
      </c>
      <c r="B180" s="131" t="s">
        <v>102</v>
      </c>
    </row>
    <row r="181" spans="1:2" ht="12.75">
      <c r="A181" s="254">
        <v>181</v>
      </c>
      <c r="B181" s="131" t="s">
        <v>247</v>
      </c>
    </row>
    <row r="182" spans="1:2" ht="12.75">
      <c r="A182" s="254">
        <v>182</v>
      </c>
      <c r="B182" s="131" t="s">
        <v>248</v>
      </c>
    </row>
    <row r="183" spans="1:2" ht="12.75">
      <c r="A183" s="254">
        <v>183</v>
      </c>
      <c r="B183" s="131" t="s">
        <v>249</v>
      </c>
    </row>
    <row r="184" spans="1:2" ht="12.75">
      <c r="A184" s="254">
        <v>184</v>
      </c>
      <c r="B184" s="131" t="s">
        <v>250</v>
      </c>
    </row>
    <row r="185" spans="1:2" ht="12.75">
      <c r="A185" s="254">
        <v>185</v>
      </c>
      <c r="B185" s="131" t="s">
        <v>251</v>
      </c>
    </row>
    <row r="186" spans="1:2" ht="12.75">
      <c r="A186" s="254">
        <v>186</v>
      </c>
      <c r="B186" s="131" t="s">
        <v>252</v>
      </c>
    </row>
    <row r="187" spans="1:2" ht="12.75">
      <c r="A187" s="253">
        <v>187</v>
      </c>
      <c r="B187" s="131" t="s">
        <v>103</v>
      </c>
    </row>
    <row r="188" spans="1:2" ht="12.75">
      <c r="A188" s="253">
        <v>188</v>
      </c>
      <c r="B188" s="131" t="s">
        <v>133</v>
      </c>
    </row>
    <row r="189" spans="1:2" ht="12.75">
      <c r="A189" s="254">
        <v>189</v>
      </c>
      <c r="B189" s="131" t="s">
        <v>253</v>
      </c>
    </row>
    <row r="190" spans="1:2" ht="12.75">
      <c r="A190" s="253">
        <v>190</v>
      </c>
      <c r="B190" s="131" t="s">
        <v>132</v>
      </c>
    </row>
    <row r="191" spans="1:2" ht="12.75">
      <c r="A191" s="253">
        <v>191</v>
      </c>
      <c r="B191" s="131" t="s">
        <v>134</v>
      </c>
    </row>
    <row r="192" spans="1:2" ht="12.75">
      <c r="A192" s="253">
        <v>192</v>
      </c>
      <c r="B192" s="131" t="s">
        <v>117</v>
      </c>
    </row>
    <row r="193" spans="1:2" ht="12.75">
      <c r="A193" s="254">
        <v>193</v>
      </c>
      <c r="B193" s="131" t="s">
        <v>254</v>
      </c>
    </row>
    <row r="194" spans="1:2" ht="12.75">
      <c r="A194" s="254">
        <v>194</v>
      </c>
      <c r="B194" s="131" t="s">
        <v>266</v>
      </c>
    </row>
    <row r="195" spans="1:2" ht="12.75">
      <c r="A195" s="253">
        <v>195</v>
      </c>
      <c r="B195" s="131" t="s">
        <v>105</v>
      </c>
    </row>
    <row r="196" spans="1:2" ht="12.75">
      <c r="A196" s="253">
        <v>196</v>
      </c>
      <c r="B196" s="131" t="s">
        <v>106</v>
      </c>
    </row>
    <row r="197" spans="1:2" ht="12.75">
      <c r="A197" s="253">
        <v>197</v>
      </c>
      <c r="B197" s="131" t="s">
        <v>107</v>
      </c>
    </row>
    <row r="198" spans="1:2" ht="12.75">
      <c r="A198" s="254">
        <v>198</v>
      </c>
      <c r="B198" s="131" t="s">
        <v>255</v>
      </c>
    </row>
    <row r="199" spans="1:2" ht="12.75">
      <c r="A199" s="254">
        <v>199</v>
      </c>
      <c r="B199" s="131" t="s">
        <v>257</v>
      </c>
    </row>
    <row r="200" spans="1:2" ht="12.75">
      <c r="A200" s="254">
        <v>200</v>
      </c>
      <c r="B200" s="131" t="s">
        <v>256</v>
      </c>
    </row>
    <row r="201" spans="1:2" ht="12.75">
      <c r="A201" s="254">
        <v>201</v>
      </c>
      <c r="B201" s="131" t="s">
        <v>259</v>
      </c>
    </row>
    <row r="202" spans="1:2" ht="12.75">
      <c r="A202" s="254">
        <v>202</v>
      </c>
      <c r="B202" s="131" t="s">
        <v>258</v>
      </c>
    </row>
    <row r="203" spans="1:2" ht="12.75">
      <c r="A203" s="254">
        <v>203</v>
      </c>
      <c r="B203" s="131" t="s">
        <v>267</v>
      </c>
    </row>
    <row r="204" spans="1:2" ht="12.75">
      <c r="A204" s="253">
        <v>204</v>
      </c>
      <c r="B204" s="131" t="s">
        <v>108</v>
      </c>
    </row>
    <row r="205" spans="1:2" ht="12.75">
      <c r="A205" s="253">
        <v>205</v>
      </c>
      <c r="B205" s="131" t="s">
        <v>206</v>
      </c>
    </row>
    <row r="206" spans="1:2" ht="12.75">
      <c r="A206" s="254">
        <v>206</v>
      </c>
      <c r="B206" s="131" t="s">
        <v>268</v>
      </c>
    </row>
    <row r="207" spans="1:2" ht="12.75">
      <c r="A207" s="254">
        <v>207</v>
      </c>
      <c r="B207" s="131" t="s">
        <v>269</v>
      </c>
    </row>
    <row r="208" spans="1:2" ht="12.75">
      <c r="A208" s="253">
        <v>208</v>
      </c>
      <c r="B208" s="131" t="s">
        <v>135</v>
      </c>
    </row>
    <row r="209" spans="1:2" ht="12.75">
      <c r="A209" s="254">
        <v>209</v>
      </c>
      <c r="B209" s="131" t="s">
        <v>270</v>
      </c>
    </row>
    <row r="210" spans="1:2" ht="12.75">
      <c r="A210" s="132">
        <v>210</v>
      </c>
      <c r="B210" s="131" t="s">
        <v>271</v>
      </c>
    </row>
    <row r="211" spans="1:2" ht="12.75">
      <c r="A211" s="254">
        <v>211</v>
      </c>
      <c r="B211" s="131" t="s">
        <v>118</v>
      </c>
    </row>
    <row r="212" spans="1:2" ht="12.75">
      <c r="A212" s="253">
        <v>212</v>
      </c>
      <c r="B212" s="131" t="s">
        <v>272</v>
      </c>
    </row>
    <row r="213" spans="1:2" ht="12.75">
      <c r="A213" s="253">
        <v>213</v>
      </c>
      <c r="B213" s="131"/>
    </row>
    <row r="214" spans="1:2" ht="12.75">
      <c r="A214" s="253">
        <v>214</v>
      </c>
      <c r="B214" s="131"/>
    </row>
    <row r="215" spans="1:2" ht="12.75">
      <c r="A215" s="253">
        <v>215</v>
      </c>
      <c r="B215" s="131"/>
    </row>
    <row r="216" spans="1:2" ht="12.75">
      <c r="A216" s="253">
        <v>216</v>
      </c>
      <c r="B216" s="131" t="s">
        <v>109</v>
      </c>
    </row>
    <row r="217" spans="1:2" ht="12.75">
      <c r="A217" s="253">
        <v>217</v>
      </c>
      <c r="B217" s="131"/>
    </row>
    <row r="218" spans="1:2" ht="12.75">
      <c r="A218" s="253">
        <v>218</v>
      </c>
      <c r="B218" s="131" t="s">
        <v>136</v>
      </c>
    </row>
    <row r="219" spans="1:2" ht="12.75">
      <c r="A219" s="253">
        <v>219</v>
      </c>
      <c r="B219" s="131" t="s">
        <v>137</v>
      </c>
    </row>
    <row r="220" spans="1:2" ht="12.75">
      <c r="A220" s="253">
        <v>220</v>
      </c>
      <c r="B220" s="131" t="s">
        <v>138</v>
      </c>
    </row>
    <row r="221" spans="1:2" ht="12.75">
      <c r="A221" s="253">
        <v>221</v>
      </c>
      <c r="B221" s="131"/>
    </row>
    <row r="222" spans="1:2" ht="12.75">
      <c r="A222" s="253">
        <v>222</v>
      </c>
      <c r="B222" s="133"/>
    </row>
    <row r="223" spans="1:2" ht="12.75">
      <c r="A223" s="253">
        <v>223</v>
      </c>
      <c r="B223" s="131" t="s">
        <v>139</v>
      </c>
    </row>
    <row r="224" spans="1:2" ht="12.75">
      <c r="A224" s="253">
        <v>224</v>
      </c>
      <c r="B224" s="131"/>
    </row>
    <row r="225" spans="1:2" ht="12.75">
      <c r="A225" s="253">
        <v>225</v>
      </c>
      <c r="B225" s="131"/>
    </row>
    <row r="226" spans="1:2" ht="12.75">
      <c r="A226" s="253">
        <v>226</v>
      </c>
      <c r="B226" s="131"/>
    </row>
    <row r="227" spans="1:2" ht="12.75">
      <c r="A227" s="253">
        <v>227</v>
      </c>
      <c r="B227" s="131" t="s">
        <v>143</v>
      </c>
    </row>
    <row r="228" spans="1:2" ht="12.75">
      <c r="A228" s="253">
        <v>228</v>
      </c>
      <c r="B228" s="131" t="s">
        <v>144</v>
      </c>
    </row>
    <row r="229" spans="1:2" ht="12.75">
      <c r="A229" s="253">
        <v>229</v>
      </c>
      <c r="B229" s="131" t="s">
        <v>145</v>
      </c>
    </row>
    <row r="230" spans="1:2" ht="12.75">
      <c r="A230" s="253">
        <v>231</v>
      </c>
      <c r="B230" s="131" t="s">
        <v>146</v>
      </c>
    </row>
    <row r="231" spans="1:2" ht="12.75">
      <c r="A231" s="132">
        <v>232</v>
      </c>
      <c r="B231" s="131"/>
    </row>
    <row r="232" spans="1:2" ht="12.75">
      <c r="A232" s="132">
        <v>233</v>
      </c>
      <c r="B232" s="131"/>
    </row>
    <row r="233" spans="1:2" ht="12.75">
      <c r="A233" s="132"/>
      <c r="B233" s="13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zoomScale="68" zoomScaleNormal="68" zoomScalePageLayoutView="0" workbookViewId="0" topLeftCell="A2">
      <selection activeCell="E88" sqref="E88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8.00390625" style="60" customWidth="1"/>
    <col min="4" max="4" width="11.00390625" style="0" customWidth="1"/>
    <col min="5" max="6" width="8.00390625" style="0" customWidth="1"/>
    <col min="7" max="7" width="5.00390625" style="0" customWidth="1"/>
    <col min="8" max="8" width="4.00390625" style="0" customWidth="1"/>
    <col min="9" max="9" width="8.00390625" style="0" customWidth="1"/>
    <col min="10" max="10" width="11.00390625" style="0" customWidth="1"/>
    <col min="11" max="12" width="8.00390625" style="0" customWidth="1"/>
    <col min="13" max="13" width="4.75390625" style="0" customWidth="1"/>
    <col min="14" max="14" width="4.25390625" style="0" customWidth="1"/>
    <col min="15" max="15" width="8.00390625" style="0" customWidth="1"/>
    <col min="16" max="16" width="11.00390625" style="0" customWidth="1"/>
    <col min="17" max="18" width="8.00390625" style="0" customWidth="1"/>
  </cols>
  <sheetData>
    <row r="1" spans="1:18" ht="15.75">
      <c r="A1" s="20"/>
      <c r="B1" s="21"/>
      <c r="C1" s="71"/>
      <c r="D1" s="22"/>
      <c r="E1" s="22"/>
      <c r="F1" s="23"/>
      <c r="G1" s="20"/>
      <c r="H1" s="21"/>
      <c r="I1" s="22"/>
      <c r="J1" s="22"/>
      <c r="K1" s="22"/>
      <c r="L1" s="23"/>
      <c r="M1" s="20"/>
      <c r="N1" s="21"/>
      <c r="O1" s="22"/>
      <c r="P1" s="22"/>
      <c r="Q1" s="22"/>
      <c r="R1" s="23"/>
    </row>
    <row r="2" spans="1:18" ht="16.5" thickBot="1">
      <c r="A2" s="20"/>
      <c r="B2" s="21"/>
      <c r="C2" s="52"/>
      <c r="D2" s="22" t="s">
        <v>260</v>
      </c>
      <c r="E2" s="22"/>
      <c r="F2" s="22"/>
      <c r="G2" s="20"/>
      <c r="H2" s="21"/>
      <c r="I2" s="22" t="str">
        <f>D2</f>
        <v>18Уз</v>
      </c>
      <c r="J2" s="22"/>
      <c r="K2" s="22"/>
      <c r="L2" s="22"/>
      <c r="M2" s="20"/>
      <c r="N2" s="21"/>
      <c r="O2" s="22" t="str">
        <f>D2</f>
        <v>18Уз</v>
      </c>
      <c r="P2" s="22"/>
      <c r="Q2" s="22"/>
      <c r="R2" s="22"/>
    </row>
    <row r="3" spans="1:18" ht="15.75">
      <c r="A3" s="20"/>
      <c r="B3" s="24"/>
      <c r="C3" s="53"/>
      <c r="D3" s="25"/>
      <c r="E3" s="25"/>
      <c r="F3" s="25"/>
      <c r="G3" s="20"/>
      <c r="H3" s="24"/>
      <c r="I3" s="25"/>
      <c r="J3" s="25"/>
      <c r="K3" s="25"/>
      <c r="L3" s="25"/>
      <c r="M3" s="20"/>
      <c r="N3" s="24"/>
      <c r="O3" s="25"/>
      <c r="P3" s="111"/>
      <c r="Q3" s="111"/>
      <c r="R3" s="106"/>
    </row>
    <row r="4" spans="1:18" ht="15.75">
      <c r="A4" s="20"/>
      <c r="B4" s="26"/>
      <c r="C4" s="54"/>
      <c r="D4" s="138" t="s">
        <v>209</v>
      </c>
      <c r="E4" s="27" t="s">
        <v>208</v>
      </c>
      <c r="F4" s="27" t="s">
        <v>210</v>
      </c>
      <c r="G4" s="20"/>
      <c r="H4" s="26"/>
      <c r="I4" s="138">
        <f>C4</f>
        <v>0</v>
      </c>
      <c r="J4" s="138" t="str">
        <f aca="true" t="shared" si="0" ref="J4:L5">D4</f>
        <v>э-18Уз</v>
      </c>
      <c r="K4" s="27" t="str">
        <f t="shared" si="0"/>
        <v>бу-18з</v>
      </c>
      <c r="L4" s="27" t="str">
        <f t="shared" si="0"/>
        <v>м-18з</v>
      </c>
      <c r="M4" s="20"/>
      <c r="N4" s="26"/>
      <c r="O4" s="138">
        <f>C4</f>
        <v>0</v>
      </c>
      <c r="P4" s="138" t="str">
        <f>J4</f>
        <v>э-18Уз</v>
      </c>
      <c r="Q4" s="27" t="str">
        <f>K4</f>
        <v>бу-18з</v>
      </c>
      <c r="R4" s="107" t="str">
        <f>F4</f>
        <v>м-18з</v>
      </c>
    </row>
    <row r="5" spans="1:18" ht="16.5" thickBot="1">
      <c r="A5" s="20"/>
      <c r="B5" s="28"/>
      <c r="C5" s="100">
        <f>D5+E5+F5</f>
        <v>67</v>
      </c>
      <c r="D5" s="137">
        <v>32</v>
      </c>
      <c r="E5" s="29">
        <v>10</v>
      </c>
      <c r="F5" s="29">
        <v>25</v>
      </c>
      <c r="G5" s="20"/>
      <c r="H5" s="28"/>
      <c r="I5" s="137">
        <f>C5</f>
        <v>67</v>
      </c>
      <c r="J5" s="137">
        <f t="shared" si="0"/>
        <v>32</v>
      </c>
      <c r="K5" s="29">
        <f t="shared" si="0"/>
        <v>10</v>
      </c>
      <c r="L5" s="29">
        <f t="shared" si="0"/>
        <v>25</v>
      </c>
      <c r="M5" s="20"/>
      <c r="N5" s="28"/>
      <c r="O5" s="137">
        <f>C5</f>
        <v>67</v>
      </c>
      <c r="P5" s="137">
        <f>J5</f>
        <v>32</v>
      </c>
      <c r="Q5" s="29">
        <f>K5</f>
        <v>10</v>
      </c>
      <c r="R5" s="108">
        <f>F5</f>
        <v>25</v>
      </c>
    </row>
    <row r="6" spans="1:18" ht="15.75">
      <c r="A6" s="30" t="s">
        <v>2</v>
      </c>
      <c r="B6" s="31">
        <v>1</v>
      </c>
      <c r="C6" s="61" t="str">
        <f>VLOOKUP(B6,служ!$A$7:$B$15,2)</f>
        <v> 8:10- 9:30</v>
      </c>
      <c r="D6" s="134"/>
      <c r="E6" s="134"/>
      <c r="F6" s="66"/>
      <c r="G6" s="30" t="s">
        <v>2</v>
      </c>
      <c r="H6" s="31">
        <v>1</v>
      </c>
      <c r="I6" s="94"/>
      <c r="J6" s="94"/>
      <c r="K6" s="94"/>
      <c r="L6" s="115"/>
      <c r="M6" s="30" t="s">
        <v>2</v>
      </c>
      <c r="N6" s="31">
        <v>1</v>
      </c>
      <c r="O6" s="94"/>
      <c r="P6" s="115"/>
      <c r="Q6" s="115"/>
      <c r="R6" s="147"/>
    </row>
    <row r="7" spans="1:18" ht="15.75" hidden="1">
      <c r="A7" s="34"/>
      <c r="B7" s="41"/>
      <c r="C7" s="62"/>
      <c r="D7" s="88"/>
      <c r="E7" s="88"/>
      <c r="F7" s="88"/>
      <c r="G7" s="34"/>
      <c r="H7" s="41"/>
      <c r="I7" s="88"/>
      <c r="J7" s="88"/>
      <c r="K7" s="88"/>
      <c r="L7" s="116"/>
      <c r="M7" s="34"/>
      <c r="N7" s="41"/>
      <c r="O7" s="88"/>
      <c r="P7" s="116"/>
      <c r="Q7" s="116"/>
      <c r="R7" s="148"/>
    </row>
    <row r="8" spans="1:18" ht="15.75">
      <c r="A8" s="32">
        <v>13</v>
      </c>
      <c r="B8" s="33">
        <v>2</v>
      </c>
      <c r="C8" s="63" t="str">
        <f>VLOOKUP(B8,служ!$A$7:$B$15,2)</f>
        <v> 9:40-11:00</v>
      </c>
      <c r="D8" s="66"/>
      <c r="E8" s="66"/>
      <c r="F8" s="66"/>
      <c r="G8" s="32">
        <f>A110+1</f>
        <v>20</v>
      </c>
      <c r="H8" s="33">
        <v>2</v>
      </c>
      <c r="I8" s="208"/>
      <c r="J8" s="208"/>
      <c r="K8" s="208"/>
      <c r="L8" s="209"/>
      <c r="M8" s="32">
        <f>G110+1</f>
        <v>27</v>
      </c>
      <c r="N8" s="33">
        <v>2</v>
      </c>
      <c r="O8" s="208"/>
      <c r="P8" s="209"/>
      <c r="Q8" s="209"/>
      <c r="R8" s="227"/>
    </row>
    <row r="9" spans="1:18" ht="15.75" hidden="1">
      <c r="A9" s="32"/>
      <c r="B9" s="33"/>
      <c r="C9" s="63" t="e">
        <f>VLOOKUP(B9,служ!$A$7:$B$15,2)</f>
        <v>#N/A</v>
      </c>
      <c r="D9" s="66"/>
      <c r="E9" s="66"/>
      <c r="F9" s="66"/>
      <c r="G9" s="32"/>
      <c r="H9" s="33"/>
      <c r="I9" s="208"/>
      <c r="J9" s="208"/>
      <c r="K9" s="208"/>
      <c r="L9" s="209"/>
      <c r="M9" s="32"/>
      <c r="N9" s="33"/>
      <c r="O9" s="208"/>
      <c r="P9" s="209"/>
      <c r="Q9" s="209"/>
      <c r="R9" s="227"/>
    </row>
    <row r="10" spans="1:18" ht="15.75">
      <c r="A10" s="34"/>
      <c r="B10" s="35">
        <v>3</v>
      </c>
      <c r="C10" s="63" t="str">
        <f>VLOOKUP(B10,служ!$A$7:$B$15,2)</f>
        <v>11:30-12:50</v>
      </c>
      <c r="D10" s="66"/>
      <c r="E10" s="66"/>
      <c r="F10" s="66"/>
      <c r="G10" s="34"/>
      <c r="H10" s="35">
        <v>3</v>
      </c>
      <c r="I10" s="208"/>
      <c r="J10" s="208"/>
      <c r="K10" s="208"/>
      <c r="L10" s="208"/>
      <c r="M10" s="34"/>
      <c r="N10" s="35">
        <v>3</v>
      </c>
      <c r="O10" s="208"/>
      <c r="P10" s="209"/>
      <c r="Q10" s="209"/>
      <c r="R10" s="227"/>
    </row>
    <row r="11" spans="1:18" ht="15.75" hidden="1">
      <c r="A11" s="34"/>
      <c r="B11" s="35"/>
      <c r="C11" s="63" t="e">
        <f>VLOOKUP(B11,служ!$A$7:$B$15,2)</f>
        <v>#N/A</v>
      </c>
      <c r="D11" s="66"/>
      <c r="E11" s="66"/>
      <c r="F11" s="66"/>
      <c r="G11" s="34"/>
      <c r="H11" s="35"/>
      <c r="I11" s="208"/>
      <c r="J11" s="208"/>
      <c r="K11" s="208"/>
      <c r="L11" s="209"/>
      <c r="M11" s="34"/>
      <c r="N11" s="35"/>
      <c r="O11" s="208"/>
      <c r="P11" s="209"/>
      <c r="Q11" s="209"/>
      <c r="R11" s="227"/>
    </row>
    <row r="12" spans="1:18" ht="15.75">
      <c r="A12" s="34"/>
      <c r="B12" s="35">
        <v>4</v>
      </c>
      <c r="C12" s="63" t="str">
        <f>VLOOKUP(B12,служ!$A$7:$B$15,2)</f>
        <v>13:10-14:30</v>
      </c>
      <c r="D12" s="66"/>
      <c r="E12" s="66"/>
      <c r="F12" s="66"/>
      <c r="G12" s="34"/>
      <c r="H12" s="35">
        <v>4</v>
      </c>
      <c r="I12" s="208"/>
      <c r="J12" s="218"/>
      <c r="K12" s="218"/>
      <c r="L12" s="208"/>
      <c r="M12" s="34"/>
      <c r="N12" s="35">
        <v>4</v>
      </c>
      <c r="O12" s="208"/>
      <c r="P12" s="209"/>
      <c r="Q12" s="209"/>
      <c r="R12" s="227"/>
    </row>
    <row r="13" spans="1:18" ht="15.75" customHeight="1" hidden="1">
      <c r="A13" s="34"/>
      <c r="B13" s="35"/>
      <c r="C13" s="63" t="e">
        <f>VLOOKUP(B13,служ!$A$7:$B$15,2)</f>
        <v>#N/A</v>
      </c>
      <c r="D13" s="66"/>
      <c r="E13" s="66"/>
      <c r="F13" s="66"/>
      <c r="G13" s="34"/>
      <c r="H13" s="35"/>
      <c r="I13" s="208"/>
      <c r="J13" s="208"/>
      <c r="K13" s="208"/>
      <c r="L13" s="209"/>
      <c r="M13" s="34"/>
      <c r="N13" s="35"/>
      <c r="O13" s="208"/>
      <c r="P13" s="209"/>
      <c r="Q13" s="209"/>
      <c r="R13" s="227"/>
    </row>
    <row r="14" spans="1:18" ht="15.75">
      <c r="A14" s="34"/>
      <c r="B14" s="36">
        <v>5</v>
      </c>
      <c r="C14" s="63" t="str">
        <f>VLOOKUP(B14,служ!$A$7:$B$15,2)</f>
        <v>15:00-16:20</v>
      </c>
      <c r="D14" s="66">
        <v>110</v>
      </c>
      <c r="E14" s="66">
        <v>110</v>
      </c>
      <c r="F14" s="66">
        <v>49</v>
      </c>
      <c r="G14" s="34"/>
      <c r="H14" s="36">
        <v>5</v>
      </c>
      <c r="I14" s="208"/>
      <c r="J14" s="208"/>
      <c r="K14" s="208"/>
      <c r="L14" s="208"/>
      <c r="M14" s="34"/>
      <c r="N14" s="36">
        <v>5</v>
      </c>
      <c r="O14" s="208"/>
      <c r="P14" s="209"/>
      <c r="Q14" s="209"/>
      <c r="R14" s="227"/>
    </row>
    <row r="15" spans="1:18" ht="15.75" hidden="1">
      <c r="A15" s="34"/>
      <c r="B15" s="36"/>
      <c r="C15" s="63" t="e">
        <f>VLOOKUP(B15,служ!$A$7:$B$15,2)</f>
        <v>#N/A</v>
      </c>
      <c r="D15" s="66"/>
      <c r="E15" s="66"/>
      <c r="F15" s="66"/>
      <c r="G15" s="34"/>
      <c r="H15" s="36"/>
      <c r="I15" s="208"/>
      <c r="J15" s="208"/>
      <c r="K15" s="208"/>
      <c r="L15" s="209"/>
      <c r="M15" s="34"/>
      <c r="N15" s="36"/>
      <c r="O15" s="208"/>
      <c r="P15" s="209"/>
      <c r="Q15" s="209"/>
      <c r="R15" s="227"/>
    </row>
    <row r="16" spans="1:18" ht="15.75">
      <c r="A16" s="34"/>
      <c r="B16" s="36">
        <v>6</v>
      </c>
      <c r="C16" s="63" t="str">
        <f>VLOOKUP(B16,служ!$A$7:$B$15,2)</f>
        <v>16:40-18:00</v>
      </c>
      <c r="D16" s="66">
        <v>125</v>
      </c>
      <c r="E16" s="66">
        <v>125</v>
      </c>
      <c r="F16" s="66">
        <v>49</v>
      </c>
      <c r="G16" s="34"/>
      <c r="H16" s="36">
        <v>6</v>
      </c>
      <c r="I16" s="208"/>
      <c r="J16" s="208"/>
      <c r="K16" s="208"/>
      <c r="L16" s="209"/>
      <c r="M16" s="34"/>
      <c r="N16" s="36">
        <v>6</v>
      </c>
      <c r="O16" s="208"/>
      <c r="P16" s="230"/>
      <c r="Q16" s="230"/>
      <c r="R16" s="236"/>
    </row>
    <row r="17" spans="1:18" ht="15.75" hidden="1">
      <c r="A17" s="34"/>
      <c r="B17" s="36"/>
      <c r="C17" s="63" t="e">
        <f>VLOOKUP(B17,служ!$A$7:$B$15,2)</f>
        <v>#N/A</v>
      </c>
      <c r="D17" s="66"/>
      <c r="E17" s="66"/>
      <c r="F17" s="66"/>
      <c r="G17" s="34"/>
      <c r="H17" s="36"/>
      <c r="I17" s="208"/>
      <c r="J17" s="208"/>
      <c r="K17" s="208"/>
      <c r="L17" s="209"/>
      <c r="M17" s="34"/>
      <c r="N17" s="36"/>
      <c r="O17" s="208"/>
      <c r="P17" s="209"/>
      <c r="Q17" s="209"/>
      <c r="R17" s="227"/>
    </row>
    <row r="18" spans="1:18" ht="15.75">
      <c r="A18" s="34"/>
      <c r="B18" s="36">
        <v>7</v>
      </c>
      <c r="C18" s="63" t="str">
        <f>VLOOKUP(B18,служ!$A$7:$B$15,2)</f>
        <v>18:20-19:40</v>
      </c>
      <c r="D18" s="114">
        <v>100</v>
      </c>
      <c r="E18" s="114">
        <v>96</v>
      </c>
      <c r="F18" s="66">
        <v>147</v>
      </c>
      <c r="G18" s="34"/>
      <c r="H18" s="36">
        <v>7</v>
      </c>
      <c r="I18" s="208"/>
      <c r="J18" s="208"/>
      <c r="K18" s="208"/>
      <c r="L18" s="208"/>
      <c r="M18" s="34"/>
      <c r="N18" s="36">
        <v>7</v>
      </c>
      <c r="O18" s="208"/>
      <c r="P18" s="209"/>
      <c r="Q18" s="209"/>
      <c r="R18" s="227"/>
    </row>
    <row r="19" spans="1:18" ht="15.75" customHeight="1" hidden="1">
      <c r="A19" s="34"/>
      <c r="B19" s="36"/>
      <c r="C19" s="63" t="e">
        <f>VLOOKUP(B19,служ!$A$7:$B$15,2)</f>
        <v>#N/A</v>
      </c>
      <c r="D19" s="66"/>
      <c r="E19" s="66"/>
      <c r="F19" s="66"/>
      <c r="G19" s="34"/>
      <c r="H19" s="36"/>
      <c r="I19" s="208"/>
      <c r="J19" s="208"/>
      <c r="K19" s="208"/>
      <c r="L19" s="208"/>
      <c r="M19" s="34"/>
      <c r="N19" s="36"/>
      <c r="O19" s="208"/>
      <c r="P19" s="209"/>
      <c r="Q19" s="209"/>
      <c r="R19" s="227"/>
    </row>
    <row r="20" spans="1:18" ht="16.5" thickBot="1">
      <c r="A20" s="34"/>
      <c r="B20" s="36">
        <v>8</v>
      </c>
      <c r="C20" s="63" t="str">
        <f>VLOOKUP(B20,служ!$A$7:$B$15,2)</f>
        <v>20:10-21:30</v>
      </c>
      <c r="D20" s="114">
        <v>100</v>
      </c>
      <c r="E20" s="114">
        <v>96</v>
      </c>
      <c r="F20" s="66">
        <v>147</v>
      </c>
      <c r="G20" s="34"/>
      <c r="H20" s="36">
        <v>8</v>
      </c>
      <c r="I20" s="208"/>
      <c r="J20" s="208"/>
      <c r="K20" s="208"/>
      <c r="L20" s="208"/>
      <c r="M20" s="34"/>
      <c r="N20" s="36">
        <v>8</v>
      </c>
      <c r="O20" s="208"/>
      <c r="P20" s="210"/>
      <c r="Q20" s="210"/>
      <c r="R20" s="234"/>
    </row>
    <row r="21" spans="1:18" ht="16.5" hidden="1" thickBot="1">
      <c r="A21" s="34"/>
      <c r="B21" s="42"/>
      <c r="C21" s="56"/>
      <c r="D21" s="96"/>
      <c r="E21" s="96"/>
      <c r="F21" s="96"/>
      <c r="G21" s="34"/>
      <c r="H21" s="42"/>
      <c r="I21" s="219"/>
      <c r="J21" s="219"/>
      <c r="K21" s="219"/>
      <c r="L21" s="220"/>
      <c r="M21" s="34"/>
      <c r="N21" s="42"/>
      <c r="O21" s="219"/>
      <c r="P21" s="220"/>
      <c r="Q21" s="220"/>
      <c r="R21" s="227"/>
    </row>
    <row r="22" spans="1:18" ht="16.5" hidden="1" thickBot="1">
      <c r="A22" s="37"/>
      <c r="B22" s="38">
        <v>9</v>
      </c>
      <c r="C22" s="57"/>
      <c r="D22" s="96"/>
      <c r="E22" s="96"/>
      <c r="F22" s="97"/>
      <c r="G22" s="37"/>
      <c r="H22" s="38">
        <v>9</v>
      </c>
      <c r="I22" s="221"/>
      <c r="J22" s="219"/>
      <c r="K22" s="219"/>
      <c r="L22" s="210"/>
      <c r="M22" s="37"/>
      <c r="N22" s="38">
        <v>9</v>
      </c>
      <c r="O22" s="221"/>
      <c r="P22" s="220"/>
      <c r="Q22" s="220"/>
      <c r="R22" s="227"/>
    </row>
    <row r="23" spans="1:18" ht="16.5" hidden="1" thickBot="1">
      <c r="A23" s="34"/>
      <c r="B23" s="43"/>
      <c r="C23" s="58"/>
      <c r="D23" s="95"/>
      <c r="E23" s="95"/>
      <c r="F23" s="95"/>
      <c r="G23" s="34"/>
      <c r="H23" s="43"/>
      <c r="I23" s="222"/>
      <c r="J23" s="222"/>
      <c r="K23" s="222"/>
      <c r="L23" s="223"/>
      <c r="M23" s="34"/>
      <c r="N23" s="43"/>
      <c r="O23" s="222"/>
      <c r="P23" s="223"/>
      <c r="Q23" s="223"/>
      <c r="R23" s="237"/>
    </row>
    <row r="24" spans="1:18" ht="15.75">
      <c r="A24" s="30" t="s">
        <v>3</v>
      </c>
      <c r="B24" s="31">
        <v>1</v>
      </c>
      <c r="C24" s="61" t="str">
        <f>VLOOKUP(B24,служ!$A$7:$B$15,2)</f>
        <v> 8:10- 9:30</v>
      </c>
      <c r="D24" s="94"/>
      <c r="E24" s="94"/>
      <c r="F24" s="147"/>
      <c r="G24" s="30" t="s">
        <v>3</v>
      </c>
      <c r="H24" s="31">
        <v>1</v>
      </c>
      <c r="I24" s="207"/>
      <c r="J24" s="207"/>
      <c r="K24" s="207"/>
      <c r="L24" s="224"/>
      <c r="M24" s="30" t="s">
        <v>3</v>
      </c>
      <c r="N24" s="31">
        <v>1</v>
      </c>
      <c r="O24" s="207"/>
      <c r="P24" s="224"/>
      <c r="Q24" s="224"/>
      <c r="R24" s="231"/>
    </row>
    <row r="25" spans="1:18" ht="15.75" hidden="1">
      <c r="A25" s="34"/>
      <c r="B25" s="41"/>
      <c r="C25" s="62"/>
      <c r="D25" s="88"/>
      <c r="E25" s="88"/>
      <c r="F25" s="148"/>
      <c r="G25" s="34"/>
      <c r="H25" s="41"/>
      <c r="I25" s="225"/>
      <c r="J25" s="225"/>
      <c r="K25" s="225"/>
      <c r="L25" s="226"/>
      <c r="M25" s="34"/>
      <c r="N25" s="41"/>
      <c r="O25" s="225"/>
      <c r="P25" s="226"/>
      <c r="Q25" s="226"/>
      <c r="R25" s="237"/>
    </row>
    <row r="26" spans="1:18" ht="15.75">
      <c r="A26" s="34">
        <f>A8+1</f>
        <v>14</v>
      </c>
      <c r="B26" s="33">
        <v>2</v>
      </c>
      <c r="C26" s="63" t="str">
        <f>VLOOKUP(B26,служ!$A$7:$B$15,2)</f>
        <v> 9:40-11:00</v>
      </c>
      <c r="D26" s="66"/>
      <c r="E26" s="66"/>
      <c r="F26" s="112"/>
      <c r="G26" s="34">
        <f>G8+1</f>
        <v>21</v>
      </c>
      <c r="H26" s="33">
        <v>2</v>
      </c>
      <c r="I26" s="208"/>
      <c r="J26" s="208"/>
      <c r="K26" s="208"/>
      <c r="L26" s="209"/>
      <c r="M26" s="32">
        <f>M8+1</f>
        <v>28</v>
      </c>
      <c r="N26" s="33">
        <v>2</v>
      </c>
      <c r="O26" s="208"/>
      <c r="P26" s="209"/>
      <c r="Q26" s="209"/>
      <c r="R26" s="227"/>
    </row>
    <row r="27" spans="1:18" ht="15.75" hidden="1">
      <c r="A27" s="34"/>
      <c r="B27" s="33"/>
      <c r="C27" s="63" t="e">
        <f>VLOOKUP(B27,служ!$A$7:$B$15,2)</f>
        <v>#N/A</v>
      </c>
      <c r="D27" s="66"/>
      <c r="E27" s="66"/>
      <c r="F27" s="112"/>
      <c r="G27" s="34"/>
      <c r="H27" s="33"/>
      <c r="I27" s="208"/>
      <c r="J27" s="208"/>
      <c r="K27" s="208"/>
      <c r="L27" s="209"/>
      <c r="M27" s="34"/>
      <c r="N27" s="33"/>
      <c r="O27" s="208"/>
      <c r="P27" s="209"/>
      <c r="Q27" s="209"/>
      <c r="R27" s="227"/>
    </row>
    <row r="28" spans="1:18" ht="15.75">
      <c r="A28" s="34"/>
      <c r="B28" s="35">
        <v>3</v>
      </c>
      <c r="C28" s="63" t="str">
        <f>VLOOKUP(B28,служ!$A$7:$B$15,2)</f>
        <v>11:30-12:50</v>
      </c>
      <c r="D28" s="66"/>
      <c r="E28" s="66"/>
      <c r="F28" s="112"/>
      <c r="G28" s="34"/>
      <c r="H28" s="35">
        <v>3</v>
      </c>
      <c r="I28" s="208"/>
      <c r="J28" s="208"/>
      <c r="K28" s="208"/>
      <c r="L28" s="227"/>
      <c r="M28" s="34"/>
      <c r="N28" s="35">
        <v>3</v>
      </c>
      <c r="O28" s="208"/>
      <c r="P28" s="208"/>
      <c r="Q28" s="208"/>
      <c r="R28" s="227"/>
    </row>
    <row r="29" spans="1:18" ht="15.75" hidden="1">
      <c r="A29" s="34"/>
      <c r="B29" s="35"/>
      <c r="C29" s="63" t="e">
        <f>VLOOKUP(B29,служ!$A$7:$B$15,2)</f>
        <v>#N/A</v>
      </c>
      <c r="D29" s="66"/>
      <c r="E29" s="66"/>
      <c r="F29" s="112"/>
      <c r="G29" s="34"/>
      <c r="H29" s="35"/>
      <c r="I29" s="208"/>
      <c r="J29" s="208"/>
      <c r="K29" s="208"/>
      <c r="L29" s="209"/>
      <c r="M29" s="34"/>
      <c r="N29" s="35"/>
      <c r="O29" s="208"/>
      <c r="P29" s="209"/>
      <c r="Q29" s="209"/>
      <c r="R29" s="227"/>
    </row>
    <row r="30" spans="1:18" ht="15.75">
      <c r="A30" s="34"/>
      <c r="B30" s="35">
        <v>4</v>
      </c>
      <c r="C30" s="63" t="str">
        <f>VLOOKUP(B30,служ!$A$7:$B$15,2)</f>
        <v>13:10-14:30</v>
      </c>
      <c r="D30" s="66"/>
      <c r="E30" s="66"/>
      <c r="F30" s="112"/>
      <c r="G30" s="34"/>
      <c r="H30" s="35">
        <v>4</v>
      </c>
      <c r="I30" s="208"/>
      <c r="J30" s="208"/>
      <c r="K30" s="208"/>
      <c r="L30" s="227"/>
      <c r="M30" s="34"/>
      <c r="N30" s="35">
        <v>4</v>
      </c>
      <c r="O30" s="208"/>
      <c r="P30" s="208"/>
      <c r="Q30" s="208"/>
      <c r="R30" s="227"/>
    </row>
    <row r="31" spans="1:18" ht="15.75" hidden="1">
      <c r="A31" s="34"/>
      <c r="B31" s="35"/>
      <c r="C31" s="63" t="e">
        <f>VLOOKUP(B31,служ!$A$7:$B$15,2)</f>
        <v>#N/A</v>
      </c>
      <c r="D31" s="66"/>
      <c r="E31" s="66"/>
      <c r="F31" s="112"/>
      <c r="G31" s="34"/>
      <c r="H31" s="35"/>
      <c r="I31" s="208"/>
      <c r="J31" s="208"/>
      <c r="K31" s="208"/>
      <c r="L31" s="209"/>
      <c r="M31" s="34"/>
      <c r="N31" s="35"/>
      <c r="O31" s="208"/>
      <c r="P31" s="209"/>
      <c r="Q31" s="209"/>
      <c r="R31" s="227"/>
    </row>
    <row r="32" spans="1:18" ht="15.75">
      <c r="A32" s="34"/>
      <c r="B32" s="36">
        <v>5</v>
      </c>
      <c r="C32" s="63" t="str">
        <f>VLOOKUP(B32,служ!$A$7:$B$15,2)</f>
        <v>15:00-16:20</v>
      </c>
      <c r="D32" s="66"/>
      <c r="E32" s="66"/>
      <c r="F32" s="261"/>
      <c r="G32" s="34"/>
      <c r="H32" s="36">
        <v>5</v>
      </c>
      <c r="I32" s="208"/>
      <c r="J32" s="208"/>
      <c r="K32" s="208"/>
      <c r="L32" s="209"/>
      <c r="M32" s="34"/>
      <c r="N32" s="36">
        <v>5</v>
      </c>
      <c r="O32" s="208"/>
      <c r="P32" s="208"/>
      <c r="Q32" s="208"/>
      <c r="R32" s="227"/>
    </row>
    <row r="33" spans="1:18" ht="15.75" hidden="1">
      <c r="A33" s="34"/>
      <c r="B33" s="36"/>
      <c r="C33" s="63" t="e">
        <f>VLOOKUP(B33,служ!$A$7:$B$15,2)</f>
        <v>#N/A</v>
      </c>
      <c r="D33" s="66"/>
      <c r="E33" s="66"/>
      <c r="F33" s="261"/>
      <c r="G33" s="34"/>
      <c r="H33" s="36"/>
      <c r="I33" s="225"/>
      <c r="J33" s="225"/>
      <c r="K33" s="225"/>
      <c r="L33" s="226"/>
      <c r="M33" s="34"/>
      <c r="N33" s="36"/>
      <c r="O33" s="208"/>
      <c r="P33" s="209"/>
      <c r="Q33" s="209"/>
      <c r="R33" s="227"/>
    </row>
    <row r="34" spans="1:18" ht="15.75">
      <c r="A34" s="34"/>
      <c r="B34" s="36">
        <v>6</v>
      </c>
      <c r="C34" s="63" t="str">
        <f>VLOOKUP(B34,служ!$A$7:$B$15,2)</f>
        <v>16:40-18:00</v>
      </c>
      <c r="D34" s="66">
        <v>226</v>
      </c>
      <c r="E34" s="66">
        <v>226</v>
      </c>
      <c r="F34" s="261">
        <v>226</v>
      </c>
      <c r="G34" s="34"/>
      <c r="H34" s="36">
        <v>6</v>
      </c>
      <c r="I34" s="208"/>
      <c r="J34" s="208"/>
      <c r="K34" s="208"/>
      <c r="L34" s="209"/>
      <c r="M34" s="34"/>
      <c r="N34" s="36">
        <v>6</v>
      </c>
      <c r="O34" s="208"/>
      <c r="P34" s="208"/>
      <c r="Q34" s="208"/>
      <c r="R34" s="227"/>
    </row>
    <row r="35" spans="1:18" ht="15.75" customHeight="1" hidden="1">
      <c r="A35" s="34"/>
      <c r="B35" s="36"/>
      <c r="C35" s="63" t="e">
        <f>VLOOKUP(B35,служ!$A$7:$B$15,2)</f>
        <v>#N/A</v>
      </c>
      <c r="D35" s="66"/>
      <c r="E35" s="66"/>
      <c r="F35" s="112"/>
      <c r="G35" s="34"/>
      <c r="H35" s="36"/>
      <c r="I35" s="208"/>
      <c r="J35" s="228"/>
      <c r="K35" s="228"/>
      <c r="L35" s="209"/>
      <c r="M35" s="34"/>
      <c r="N35" s="36"/>
      <c r="O35" s="208"/>
      <c r="P35" s="209"/>
      <c r="Q35" s="209"/>
      <c r="R35" s="227"/>
    </row>
    <row r="36" spans="1:18" ht="15.75">
      <c r="A36" s="34"/>
      <c r="B36" s="36">
        <v>7</v>
      </c>
      <c r="C36" s="63" t="str">
        <f>VLOOKUP(B36,служ!$A$7:$B$15,2)</f>
        <v>18:20-19:40</v>
      </c>
      <c r="D36" s="114">
        <v>100</v>
      </c>
      <c r="E36" s="114">
        <v>96</v>
      </c>
      <c r="F36" s="112">
        <v>87</v>
      </c>
      <c r="G36" s="34"/>
      <c r="H36" s="36">
        <v>7</v>
      </c>
      <c r="I36" s="208"/>
      <c r="J36" s="218"/>
      <c r="K36" s="218"/>
      <c r="L36" s="229"/>
      <c r="M36" s="34"/>
      <c r="N36" s="36">
        <v>7</v>
      </c>
      <c r="O36" s="208"/>
      <c r="P36" s="209"/>
      <c r="Q36" s="209"/>
      <c r="R36" s="227"/>
    </row>
    <row r="37" spans="1:18" ht="15.75" customHeight="1" hidden="1">
      <c r="A37" s="34"/>
      <c r="B37" s="36"/>
      <c r="C37" s="63" t="e">
        <f>VLOOKUP(B37,служ!$A$7:$B$15,2)</f>
        <v>#N/A</v>
      </c>
      <c r="D37" s="66"/>
      <c r="E37" s="66"/>
      <c r="F37" s="112"/>
      <c r="G37" s="34"/>
      <c r="H37" s="36"/>
      <c r="I37" s="208"/>
      <c r="J37" s="218"/>
      <c r="K37" s="218"/>
      <c r="L37" s="209"/>
      <c r="M37" s="34"/>
      <c r="N37" s="36"/>
      <c r="O37" s="208"/>
      <c r="P37" s="209"/>
      <c r="Q37" s="209"/>
      <c r="R37" s="227"/>
    </row>
    <row r="38" spans="1:18" ht="16.5" thickBot="1">
      <c r="A38" s="37"/>
      <c r="B38" s="38">
        <v>8</v>
      </c>
      <c r="C38" s="105" t="str">
        <f>VLOOKUP(B38,служ!$A$7:$B$15,2)</f>
        <v>20:10-21:30</v>
      </c>
      <c r="D38" s="114">
        <v>100</v>
      </c>
      <c r="E38" s="114">
        <v>96</v>
      </c>
      <c r="F38" s="112">
        <v>87</v>
      </c>
      <c r="G38" s="34"/>
      <c r="H38" s="36">
        <v>8</v>
      </c>
      <c r="I38" s="208"/>
      <c r="J38" s="218"/>
      <c r="K38" s="218"/>
      <c r="L38" s="209"/>
      <c r="M38" s="37"/>
      <c r="N38" s="38">
        <v>8</v>
      </c>
      <c r="O38" s="233"/>
      <c r="P38" s="210"/>
      <c r="Q38" s="210"/>
      <c r="R38" s="234"/>
    </row>
    <row r="39" spans="1:18" ht="16.5" hidden="1" thickBot="1">
      <c r="A39" s="34"/>
      <c r="B39" s="43"/>
      <c r="C39" s="58"/>
      <c r="D39" s="95"/>
      <c r="E39" s="95"/>
      <c r="F39" s="95"/>
      <c r="G39" s="34"/>
      <c r="H39" s="42"/>
      <c r="I39" s="219"/>
      <c r="J39" s="219"/>
      <c r="K39" s="219"/>
      <c r="L39" s="220"/>
      <c r="M39" s="34"/>
      <c r="N39" s="43"/>
      <c r="O39" s="225"/>
      <c r="P39" s="226"/>
      <c r="Q39" s="226"/>
      <c r="R39" s="237"/>
    </row>
    <row r="40" spans="1:18" ht="16.5" hidden="1" thickBot="1">
      <c r="A40" s="37"/>
      <c r="B40" s="38">
        <v>9</v>
      </c>
      <c r="C40" s="57"/>
      <c r="D40" s="96"/>
      <c r="E40" s="96"/>
      <c r="F40" s="97"/>
      <c r="G40" s="37"/>
      <c r="H40" s="38">
        <v>9</v>
      </c>
      <c r="I40" s="221"/>
      <c r="J40" s="219"/>
      <c r="K40" s="219"/>
      <c r="L40" s="210"/>
      <c r="M40" s="37"/>
      <c r="N40" s="38">
        <v>9</v>
      </c>
      <c r="O40" s="208"/>
      <c r="P40" s="209"/>
      <c r="Q40" s="209"/>
      <c r="R40" s="227"/>
    </row>
    <row r="41" spans="1:18" ht="16.5" hidden="1" thickBot="1">
      <c r="A41" s="34"/>
      <c r="B41" s="43"/>
      <c r="C41" s="58"/>
      <c r="D41" s="95"/>
      <c r="E41" s="95"/>
      <c r="F41" s="95"/>
      <c r="G41" s="34"/>
      <c r="H41" s="43"/>
      <c r="I41" s="222"/>
      <c r="J41" s="222"/>
      <c r="K41" s="222"/>
      <c r="L41" s="223"/>
      <c r="M41" s="34"/>
      <c r="N41" s="43"/>
      <c r="O41" s="222"/>
      <c r="P41" s="223"/>
      <c r="Q41" s="223"/>
      <c r="R41" s="237"/>
    </row>
    <row r="42" spans="1:18" ht="15.75">
      <c r="A42" s="39" t="s">
        <v>4</v>
      </c>
      <c r="B42" s="31">
        <v>1</v>
      </c>
      <c r="C42" s="61" t="str">
        <f>VLOOKUP(B42,служ!$A$7:$B$15,2)</f>
        <v> 8:10- 9:30</v>
      </c>
      <c r="D42" s="94"/>
      <c r="E42" s="94"/>
      <c r="F42" s="94"/>
      <c r="G42" s="39" t="s">
        <v>4</v>
      </c>
      <c r="H42" s="31">
        <v>1</v>
      </c>
      <c r="I42" s="207"/>
      <c r="J42" s="207"/>
      <c r="K42" s="207"/>
      <c r="L42" s="224"/>
      <c r="M42" s="39" t="s">
        <v>4</v>
      </c>
      <c r="N42" s="31">
        <v>1</v>
      </c>
      <c r="O42" s="207"/>
      <c r="P42" s="224"/>
      <c r="Q42" s="224"/>
      <c r="R42" s="231"/>
    </row>
    <row r="43" spans="1:18" ht="15.75" hidden="1">
      <c r="A43" s="44"/>
      <c r="B43" s="41"/>
      <c r="C43" s="62"/>
      <c r="D43" s="88"/>
      <c r="E43" s="88"/>
      <c r="F43" s="88"/>
      <c r="G43" s="44"/>
      <c r="H43" s="41"/>
      <c r="I43" s="225"/>
      <c r="J43" s="225"/>
      <c r="K43" s="225"/>
      <c r="L43" s="226"/>
      <c r="M43" s="44"/>
      <c r="N43" s="41"/>
      <c r="O43" s="225"/>
      <c r="P43" s="226"/>
      <c r="Q43" s="226"/>
      <c r="R43" s="237"/>
    </row>
    <row r="44" spans="1:18" ht="15.75">
      <c r="A44" s="34">
        <f>A26+1</f>
        <v>15</v>
      </c>
      <c r="B44" s="33">
        <v>2</v>
      </c>
      <c r="C44" s="63" t="str">
        <f>VLOOKUP(B44,служ!$A$7:$B$15,2)</f>
        <v> 9:40-11:00</v>
      </c>
      <c r="D44" s="66"/>
      <c r="E44" s="66"/>
      <c r="F44" s="66"/>
      <c r="G44" s="34">
        <f>G26+1</f>
        <v>22</v>
      </c>
      <c r="H44" s="33">
        <v>2</v>
      </c>
      <c r="I44" s="208"/>
      <c r="J44" s="208"/>
      <c r="K44" s="208"/>
      <c r="L44" s="209"/>
      <c r="M44" s="34">
        <f>M26+1</f>
        <v>29</v>
      </c>
      <c r="N44" s="33">
        <v>2</v>
      </c>
      <c r="O44" s="208"/>
      <c r="P44" s="209"/>
      <c r="Q44" s="209"/>
      <c r="R44" s="227"/>
    </row>
    <row r="45" spans="1:18" ht="15.75" hidden="1">
      <c r="A45" s="34"/>
      <c r="B45" s="33"/>
      <c r="C45" s="63" t="e">
        <f>VLOOKUP(B45,служ!$A$7:$B$15,2)</f>
        <v>#N/A</v>
      </c>
      <c r="D45" s="66"/>
      <c r="E45" s="66"/>
      <c r="F45" s="66"/>
      <c r="G45" s="34"/>
      <c r="H45" s="33"/>
      <c r="I45" s="208"/>
      <c r="J45" s="208"/>
      <c r="K45" s="208"/>
      <c r="L45" s="209"/>
      <c r="M45" s="34"/>
      <c r="N45" s="33"/>
      <c r="O45" s="208"/>
      <c r="P45" s="209"/>
      <c r="Q45" s="209"/>
      <c r="R45" s="227"/>
    </row>
    <row r="46" spans="1:18" ht="15.75">
      <c r="A46" s="34"/>
      <c r="B46" s="35">
        <v>3</v>
      </c>
      <c r="C46" s="63" t="str">
        <f>VLOOKUP(B46,служ!$A$7:$B$15,2)</f>
        <v>11:30-12:50</v>
      </c>
      <c r="D46" s="66"/>
      <c r="E46" s="66"/>
      <c r="F46" s="112"/>
      <c r="G46" s="34"/>
      <c r="H46" s="35">
        <v>3</v>
      </c>
      <c r="I46" s="208"/>
      <c r="J46" s="208"/>
      <c r="K46" s="208"/>
      <c r="L46" s="227"/>
      <c r="M46" s="34"/>
      <c r="N46" s="35">
        <v>3</v>
      </c>
      <c r="O46" s="208"/>
      <c r="P46" s="209"/>
      <c r="Q46" s="209"/>
      <c r="R46" s="227"/>
    </row>
    <row r="47" spans="1:18" ht="15.75" hidden="1">
      <c r="A47" s="34"/>
      <c r="B47" s="35"/>
      <c r="C47" s="63" t="e">
        <f>VLOOKUP(B47,служ!$A$7:$B$15,2)</f>
        <v>#N/A</v>
      </c>
      <c r="D47" s="66"/>
      <c r="E47" s="66"/>
      <c r="F47" s="66"/>
      <c r="G47" s="34"/>
      <c r="H47" s="35"/>
      <c r="I47" s="208"/>
      <c r="J47" s="208"/>
      <c r="K47" s="208"/>
      <c r="L47" s="209"/>
      <c r="M47" s="34"/>
      <c r="N47" s="35"/>
      <c r="O47" s="208"/>
      <c r="P47" s="209"/>
      <c r="Q47" s="209"/>
      <c r="R47" s="227"/>
    </row>
    <row r="48" spans="1:18" ht="15.75">
      <c r="A48" s="34"/>
      <c r="B48" s="35">
        <v>4</v>
      </c>
      <c r="C48" s="63" t="str">
        <f>VLOOKUP(B48,служ!$A$7:$B$15,2)</f>
        <v>13:10-14:30</v>
      </c>
      <c r="D48" s="66"/>
      <c r="E48" s="66"/>
      <c r="F48" s="112"/>
      <c r="G48" s="34"/>
      <c r="H48" s="35">
        <v>4</v>
      </c>
      <c r="I48" s="208"/>
      <c r="J48" s="208"/>
      <c r="K48" s="208"/>
      <c r="L48" s="227"/>
      <c r="M48" s="34"/>
      <c r="N48" s="35">
        <v>4</v>
      </c>
      <c r="O48" s="208"/>
      <c r="P48" s="208"/>
      <c r="Q48" s="208"/>
      <c r="R48" s="227"/>
    </row>
    <row r="49" spans="1:18" ht="15.75" hidden="1">
      <c r="A49" s="34"/>
      <c r="B49" s="35"/>
      <c r="C49" s="63" t="e">
        <f>VLOOKUP(B49,служ!$A$7:$B$15,2)</f>
        <v>#N/A</v>
      </c>
      <c r="D49" s="66"/>
      <c r="E49" s="66"/>
      <c r="F49" s="66"/>
      <c r="G49" s="34"/>
      <c r="H49" s="35"/>
      <c r="I49" s="208"/>
      <c r="J49" s="208"/>
      <c r="K49" s="208"/>
      <c r="L49" s="209"/>
      <c r="M49" s="34"/>
      <c r="N49" s="35"/>
      <c r="O49" s="208"/>
      <c r="P49" s="209"/>
      <c r="Q49" s="209"/>
      <c r="R49" s="227"/>
    </row>
    <row r="50" spans="1:18" ht="15.75">
      <c r="A50" s="34"/>
      <c r="B50" s="36">
        <v>5</v>
      </c>
      <c r="C50" s="63" t="str">
        <f>VLOOKUP(B50,служ!$A$7:$B$15,2)</f>
        <v>15:00-16:20</v>
      </c>
      <c r="D50" s="66">
        <v>110</v>
      </c>
      <c r="E50" s="66">
        <v>110</v>
      </c>
      <c r="F50" s="112">
        <v>49</v>
      </c>
      <c r="G50" s="34"/>
      <c r="H50" s="36">
        <v>5</v>
      </c>
      <c r="I50" s="230"/>
      <c r="J50" s="208"/>
      <c r="K50" s="208"/>
      <c r="L50" s="209"/>
      <c r="M50" s="34"/>
      <c r="N50" s="36">
        <v>5</v>
      </c>
      <c r="O50" s="208"/>
      <c r="P50" s="209"/>
      <c r="Q50" s="209"/>
      <c r="R50" s="236"/>
    </row>
    <row r="51" spans="1:18" ht="15.75" hidden="1">
      <c r="A51" s="34"/>
      <c r="B51" s="36"/>
      <c r="C51" s="63" t="e">
        <f>VLOOKUP(B51,служ!$A$7:$B$15,2)</f>
        <v>#N/A</v>
      </c>
      <c r="D51" s="66"/>
      <c r="E51" s="66"/>
      <c r="F51" s="66"/>
      <c r="G51" s="34"/>
      <c r="H51" s="36"/>
      <c r="I51" s="225"/>
      <c r="J51" s="225"/>
      <c r="K51" s="225"/>
      <c r="L51" s="226"/>
      <c r="M51" s="34"/>
      <c r="N51" s="36"/>
      <c r="O51" s="208"/>
      <c r="P51" s="209"/>
      <c r="Q51" s="209"/>
      <c r="R51" s="227"/>
    </row>
    <row r="52" spans="1:18" ht="15.75">
      <c r="A52" s="34"/>
      <c r="B52" s="36">
        <v>6</v>
      </c>
      <c r="C52" s="63" t="str">
        <f>VLOOKUP(B52,служ!$A$7:$B$15,2)</f>
        <v>16:40-18:00</v>
      </c>
      <c r="D52" s="66">
        <v>110</v>
      </c>
      <c r="E52" s="66">
        <v>110</v>
      </c>
      <c r="F52" s="66">
        <v>49</v>
      </c>
      <c r="G52" s="34"/>
      <c r="H52" s="36">
        <v>6</v>
      </c>
      <c r="I52" s="230"/>
      <c r="J52" s="208"/>
      <c r="K52" s="208"/>
      <c r="L52" s="209"/>
      <c r="M52" s="34"/>
      <c r="N52" s="36">
        <v>6</v>
      </c>
      <c r="O52" s="208"/>
      <c r="P52" s="209"/>
      <c r="Q52" s="209"/>
      <c r="R52" s="227"/>
    </row>
    <row r="53" spans="1:18" ht="15.75" hidden="1">
      <c r="A53" s="34"/>
      <c r="B53" s="36"/>
      <c r="C53" s="63" t="e">
        <f>VLOOKUP(B53,служ!$A$7:$B$15,2)</f>
        <v>#N/A</v>
      </c>
      <c r="D53" s="66"/>
      <c r="E53" s="66"/>
      <c r="F53" s="66"/>
      <c r="G53" s="34"/>
      <c r="H53" s="36"/>
      <c r="I53" s="208"/>
      <c r="J53" s="208"/>
      <c r="K53" s="208"/>
      <c r="L53" s="209"/>
      <c r="M53" s="34"/>
      <c r="N53" s="36"/>
      <c r="O53" s="208"/>
      <c r="P53" s="209"/>
      <c r="Q53" s="209"/>
      <c r="R53" s="227"/>
    </row>
    <row r="54" spans="1:18" ht="15.75">
      <c r="A54" s="34"/>
      <c r="B54" s="36">
        <v>7</v>
      </c>
      <c r="C54" s="63" t="str">
        <f>VLOOKUP(B54,служ!$A$7:$B$15,2)</f>
        <v>18:20-19:40</v>
      </c>
      <c r="D54" s="66">
        <v>100</v>
      </c>
      <c r="E54" s="66">
        <v>96</v>
      </c>
      <c r="F54" s="66"/>
      <c r="G54" s="34"/>
      <c r="H54" s="36">
        <v>7</v>
      </c>
      <c r="I54" s="208"/>
      <c r="J54" s="208"/>
      <c r="K54" s="208"/>
      <c r="L54" s="208"/>
      <c r="M54" s="34"/>
      <c r="N54" s="36">
        <v>7</v>
      </c>
      <c r="O54" s="208"/>
      <c r="P54" s="208"/>
      <c r="Q54" s="209"/>
      <c r="R54" s="227"/>
    </row>
    <row r="55" spans="1:18" ht="15.75" customHeight="1" hidden="1">
      <c r="A55" s="34"/>
      <c r="B55" s="36"/>
      <c r="C55" s="63" t="e">
        <f>VLOOKUP(B55,служ!$A$7:$B$15,2)</f>
        <v>#N/A</v>
      </c>
      <c r="D55" s="66"/>
      <c r="E55" s="66"/>
      <c r="F55" s="66"/>
      <c r="G55" s="34"/>
      <c r="H55" s="36"/>
      <c r="I55" s="208"/>
      <c r="J55" s="208"/>
      <c r="K55" s="208"/>
      <c r="L55" s="208"/>
      <c r="M55" s="34"/>
      <c r="N55" s="36"/>
      <c r="O55" s="208"/>
      <c r="P55" s="209"/>
      <c r="Q55" s="209"/>
      <c r="R55" s="227"/>
    </row>
    <row r="56" spans="1:18" ht="16.5" thickBot="1">
      <c r="A56" s="34"/>
      <c r="B56" s="36">
        <v>8</v>
      </c>
      <c r="C56" s="63" t="str">
        <f>VLOOKUP(B56,служ!$A$7:$B$15,2)</f>
        <v>20:10-21:30</v>
      </c>
      <c r="D56" s="66">
        <v>100</v>
      </c>
      <c r="E56" s="66">
        <v>96</v>
      </c>
      <c r="F56" s="66"/>
      <c r="G56" s="34"/>
      <c r="H56" s="36">
        <v>8</v>
      </c>
      <c r="I56" s="208"/>
      <c r="J56" s="208"/>
      <c r="K56" s="208"/>
      <c r="L56" s="208"/>
      <c r="M56" s="34"/>
      <c r="N56" s="38">
        <v>8</v>
      </c>
      <c r="O56" s="208"/>
      <c r="P56" s="208"/>
      <c r="Q56" s="210"/>
      <c r="R56" s="234"/>
    </row>
    <row r="57" spans="1:18" ht="16.5" hidden="1" thickBot="1">
      <c r="A57" s="34"/>
      <c r="B57" s="42"/>
      <c r="C57" s="56"/>
      <c r="D57" s="96"/>
      <c r="E57" s="96"/>
      <c r="F57" s="96"/>
      <c r="G57" s="34"/>
      <c r="H57" s="42"/>
      <c r="I57" s="219"/>
      <c r="J57" s="219"/>
      <c r="K57" s="219"/>
      <c r="L57" s="220"/>
      <c r="M57" s="34"/>
      <c r="N57" s="43"/>
      <c r="O57" s="225"/>
      <c r="P57" s="226"/>
      <c r="Q57" s="226"/>
      <c r="R57" s="237"/>
    </row>
    <row r="58" spans="1:18" ht="16.5" hidden="1" thickBot="1">
      <c r="A58" s="37"/>
      <c r="B58" s="38">
        <v>9</v>
      </c>
      <c r="C58" s="57"/>
      <c r="D58" s="97"/>
      <c r="E58" s="97"/>
      <c r="F58" s="97"/>
      <c r="G58" s="37"/>
      <c r="H58" s="38">
        <v>9</v>
      </c>
      <c r="I58" s="221"/>
      <c r="J58" s="219"/>
      <c r="K58" s="219"/>
      <c r="L58" s="210"/>
      <c r="M58" s="37"/>
      <c r="N58" s="38">
        <v>9</v>
      </c>
      <c r="O58" s="208"/>
      <c r="P58" s="209"/>
      <c r="Q58" s="209"/>
      <c r="R58" s="227"/>
    </row>
    <row r="59" spans="1:18" ht="16.5" hidden="1" thickBot="1">
      <c r="A59" s="34"/>
      <c r="B59" s="43"/>
      <c r="C59" s="58"/>
      <c r="D59" s="95"/>
      <c r="E59" s="95"/>
      <c r="F59" s="95"/>
      <c r="G59" s="34"/>
      <c r="H59" s="43"/>
      <c r="I59" s="222"/>
      <c r="J59" s="222"/>
      <c r="K59" s="222"/>
      <c r="L59" s="223"/>
      <c r="M59" s="34"/>
      <c r="N59" s="43"/>
      <c r="O59" s="222"/>
      <c r="P59" s="223"/>
      <c r="Q59" s="223"/>
      <c r="R59" s="238"/>
    </row>
    <row r="60" spans="1:18" ht="15.75">
      <c r="A60" s="30" t="s">
        <v>5</v>
      </c>
      <c r="B60" s="31">
        <v>1</v>
      </c>
      <c r="C60" s="61" t="str">
        <f>VLOOKUP(B60,служ!$A$7:$B$15,2)</f>
        <v> 8:10- 9:30</v>
      </c>
      <c r="D60" s="94"/>
      <c r="E60" s="94"/>
      <c r="F60" s="147"/>
      <c r="G60" s="30" t="s">
        <v>5</v>
      </c>
      <c r="H60" s="31">
        <v>1</v>
      </c>
      <c r="I60" s="207"/>
      <c r="J60" s="207"/>
      <c r="K60" s="207"/>
      <c r="L60" s="231"/>
      <c r="M60" s="30" t="s">
        <v>5</v>
      </c>
      <c r="N60" s="31">
        <v>1</v>
      </c>
      <c r="O60" s="207"/>
      <c r="P60" s="224"/>
      <c r="Q60" s="224"/>
      <c r="R60" s="231"/>
    </row>
    <row r="61" spans="1:18" ht="19.5" customHeight="1" hidden="1">
      <c r="A61" s="34"/>
      <c r="B61" s="41"/>
      <c r="C61" s="62"/>
      <c r="D61" s="88"/>
      <c r="E61" s="88"/>
      <c r="F61" s="88"/>
      <c r="G61" s="34"/>
      <c r="H61" s="41"/>
      <c r="I61" s="225"/>
      <c r="J61" s="225"/>
      <c r="K61" s="225"/>
      <c r="L61" s="226"/>
      <c r="M61" s="34"/>
      <c r="N61" s="41"/>
      <c r="O61" s="225"/>
      <c r="P61" s="226"/>
      <c r="Q61" s="226"/>
      <c r="R61" s="237"/>
    </row>
    <row r="62" spans="1:18" ht="15.75">
      <c r="A62" s="34">
        <f>A44+1</f>
        <v>16</v>
      </c>
      <c r="B62" s="33">
        <v>2</v>
      </c>
      <c r="C62" s="63" t="str">
        <f>VLOOKUP(B62,служ!$A$7:$B$15,2)</f>
        <v> 9:40-11:00</v>
      </c>
      <c r="D62" s="66"/>
      <c r="E62" s="66"/>
      <c r="F62" s="112"/>
      <c r="G62" s="34">
        <f>G44+1</f>
        <v>23</v>
      </c>
      <c r="H62" s="33">
        <v>2</v>
      </c>
      <c r="I62" s="208"/>
      <c r="J62" s="208"/>
      <c r="K62" s="208"/>
      <c r="L62" s="209"/>
      <c r="M62" s="34">
        <f>M44+1</f>
        <v>30</v>
      </c>
      <c r="N62" s="33">
        <v>2</v>
      </c>
      <c r="O62" s="208"/>
      <c r="P62" s="209"/>
      <c r="Q62" s="209"/>
      <c r="R62" s="227"/>
    </row>
    <row r="63" spans="1:18" ht="15.75" hidden="1">
      <c r="A63" s="34"/>
      <c r="B63" s="33"/>
      <c r="C63" s="63" t="e">
        <f>VLOOKUP(B63,служ!$A$7:$B$15,2)</f>
        <v>#N/A</v>
      </c>
      <c r="D63" s="66"/>
      <c r="E63" s="66"/>
      <c r="F63" s="66"/>
      <c r="G63" s="34"/>
      <c r="H63" s="33"/>
      <c r="I63" s="208"/>
      <c r="J63" s="208"/>
      <c r="K63" s="208"/>
      <c r="L63" s="209"/>
      <c r="M63" s="34"/>
      <c r="N63" s="33"/>
      <c r="O63" s="208"/>
      <c r="P63" s="209"/>
      <c r="Q63" s="209"/>
      <c r="R63" s="227"/>
    </row>
    <row r="64" spans="1:18" ht="15.75">
      <c r="A64" s="34"/>
      <c r="B64" s="35">
        <v>3</v>
      </c>
      <c r="C64" s="63" t="str">
        <f>VLOOKUP(B64,служ!$A$7:$B$15,2)</f>
        <v>11:30-12:50</v>
      </c>
      <c r="D64" s="66"/>
      <c r="E64" s="66"/>
      <c r="F64" s="66"/>
      <c r="G64" s="34"/>
      <c r="H64" s="35">
        <v>3</v>
      </c>
      <c r="I64" s="208"/>
      <c r="J64" s="208"/>
      <c r="K64" s="208"/>
      <c r="L64" s="208"/>
      <c r="M64" s="34"/>
      <c r="N64" s="35">
        <v>3</v>
      </c>
      <c r="O64" s="208"/>
      <c r="P64" s="208"/>
      <c r="Q64" s="208"/>
      <c r="R64" s="227"/>
    </row>
    <row r="65" spans="1:18" ht="15.75" hidden="1">
      <c r="A65" s="34"/>
      <c r="B65" s="35"/>
      <c r="C65" s="63" t="e">
        <f>VLOOKUP(B65,служ!$A$7:$B$15,2)</f>
        <v>#N/A</v>
      </c>
      <c r="D65" s="66"/>
      <c r="E65" s="66"/>
      <c r="F65" s="66"/>
      <c r="G65" s="34"/>
      <c r="H65" s="35"/>
      <c r="I65" s="208"/>
      <c r="J65" s="208"/>
      <c r="K65" s="208"/>
      <c r="L65" s="209"/>
      <c r="M65" s="34"/>
      <c r="N65" s="35"/>
      <c r="O65" s="208"/>
      <c r="P65" s="208"/>
      <c r="Q65" s="208"/>
      <c r="R65" s="227"/>
    </row>
    <row r="66" spans="1:18" ht="15.75">
      <c r="A66" s="34"/>
      <c r="B66" s="35">
        <v>4</v>
      </c>
      <c r="C66" s="63" t="str">
        <f>VLOOKUP(B66,служ!$A$7:$B$15,2)</f>
        <v>13:10-14:30</v>
      </c>
      <c r="D66" s="66"/>
      <c r="E66" s="66"/>
      <c r="F66" s="66"/>
      <c r="G66" s="34"/>
      <c r="H66" s="35">
        <v>4</v>
      </c>
      <c r="I66" s="208"/>
      <c r="J66" s="208"/>
      <c r="K66" s="208"/>
      <c r="L66" s="208"/>
      <c r="M66" s="34"/>
      <c r="N66" s="35">
        <v>4</v>
      </c>
      <c r="O66" s="208"/>
      <c r="P66" s="208"/>
      <c r="Q66" s="208"/>
      <c r="R66" s="227"/>
    </row>
    <row r="67" spans="1:18" ht="15.75" hidden="1">
      <c r="A67" s="34"/>
      <c r="B67" s="35"/>
      <c r="C67" s="63" t="e">
        <f>VLOOKUP(B67,служ!$A$7:$B$15,2)</f>
        <v>#N/A</v>
      </c>
      <c r="D67" s="66"/>
      <c r="E67" s="66"/>
      <c r="F67" s="66"/>
      <c r="G67" s="34"/>
      <c r="H67" s="35"/>
      <c r="I67" s="225"/>
      <c r="J67" s="225"/>
      <c r="K67" s="225"/>
      <c r="L67" s="226"/>
      <c r="M67" s="34"/>
      <c r="N67" s="35"/>
      <c r="O67" s="208"/>
      <c r="P67" s="209"/>
      <c r="Q67" s="209"/>
      <c r="R67" s="227"/>
    </row>
    <row r="68" spans="1:18" ht="15.75">
      <c r="A68" s="34"/>
      <c r="B68" s="36">
        <v>5</v>
      </c>
      <c r="C68" s="63" t="str">
        <f>VLOOKUP(B68,служ!$A$7:$B$15,2)</f>
        <v>15:00-16:20</v>
      </c>
      <c r="D68" s="66">
        <v>125</v>
      </c>
      <c r="E68" s="66">
        <v>125</v>
      </c>
      <c r="F68" s="112">
        <v>49</v>
      </c>
      <c r="G68" s="34"/>
      <c r="H68" s="36">
        <v>5</v>
      </c>
      <c r="I68" s="208"/>
      <c r="J68" s="209"/>
      <c r="K68" s="209"/>
      <c r="L68" s="208"/>
      <c r="M68" s="34"/>
      <c r="N68" s="36">
        <v>5</v>
      </c>
      <c r="O68" s="208"/>
      <c r="P68" s="208"/>
      <c r="Q68" s="208"/>
      <c r="R68" s="227"/>
    </row>
    <row r="69" spans="1:18" ht="15.75" customHeight="1" hidden="1">
      <c r="A69" s="34"/>
      <c r="B69" s="36"/>
      <c r="C69" s="63" t="e">
        <f>VLOOKUP(B69,служ!$A$7:$B$15,2)</f>
        <v>#N/A</v>
      </c>
      <c r="D69" s="66"/>
      <c r="E69" s="66"/>
      <c r="F69" s="66"/>
      <c r="G69" s="34"/>
      <c r="H69" s="36"/>
      <c r="I69" s="208"/>
      <c r="J69" s="208"/>
      <c r="K69" s="208"/>
      <c r="L69" s="208"/>
      <c r="M69" s="34"/>
      <c r="N69" s="36"/>
      <c r="O69" s="208"/>
      <c r="P69" s="208"/>
      <c r="Q69" s="208"/>
      <c r="R69" s="227"/>
    </row>
    <row r="70" spans="1:18" ht="15.75">
      <c r="A70" s="34"/>
      <c r="B70" s="36">
        <v>6</v>
      </c>
      <c r="C70" s="63" t="str">
        <f>VLOOKUP(B70,служ!$A$7:$B$15,2)</f>
        <v>16:40-18:00</v>
      </c>
      <c r="D70" s="66">
        <v>125</v>
      </c>
      <c r="E70" s="66">
        <v>125</v>
      </c>
      <c r="F70" s="112">
        <v>49</v>
      </c>
      <c r="G70" s="34"/>
      <c r="H70" s="36">
        <v>6</v>
      </c>
      <c r="I70" s="208"/>
      <c r="J70" s="209"/>
      <c r="K70" s="209"/>
      <c r="L70" s="208"/>
      <c r="M70" s="34"/>
      <c r="N70" s="36">
        <v>6</v>
      </c>
      <c r="O70" s="230"/>
      <c r="P70" s="230"/>
      <c r="Q70" s="230"/>
      <c r="R70" s="236"/>
    </row>
    <row r="71" spans="1:18" ht="15.75" hidden="1">
      <c r="A71" s="34"/>
      <c r="B71" s="36"/>
      <c r="C71" s="63" t="e">
        <f>VLOOKUP(B71,служ!$A$7:$B$15,2)</f>
        <v>#N/A</v>
      </c>
      <c r="D71" s="88"/>
      <c r="E71" s="88"/>
      <c r="F71" s="88"/>
      <c r="G71" s="34"/>
      <c r="H71" s="36"/>
      <c r="I71" s="208"/>
      <c r="J71" s="208"/>
      <c r="K71" s="208"/>
      <c r="L71" s="232"/>
      <c r="M71" s="34"/>
      <c r="N71" s="36"/>
      <c r="O71" s="208"/>
      <c r="P71" s="209"/>
      <c r="Q71" s="209"/>
      <c r="R71" s="227"/>
    </row>
    <row r="72" spans="1:18" ht="15.75">
      <c r="A72" s="34"/>
      <c r="B72" s="36">
        <v>7</v>
      </c>
      <c r="C72" s="63" t="str">
        <f>VLOOKUP(B72,служ!$A$7:$B$15,2)</f>
        <v>18:20-19:40</v>
      </c>
      <c r="D72" s="66">
        <v>100</v>
      </c>
      <c r="E72" s="66"/>
      <c r="F72" s="112">
        <v>147</v>
      </c>
      <c r="G72" s="34"/>
      <c r="H72" s="36">
        <v>7</v>
      </c>
      <c r="I72" s="208"/>
      <c r="J72" s="208"/>
      <c r="K72" s="208"/>
      <c r="L72" s="209"/>
      <c r="M72" s="34"/>
      <c r="N72" s="36">
        <v>7</v>
      </c>
      <c r="O72" s="208"/>
      <c r="P72" s="230"/>
      <c r="Q72" s="230"/>
      <c r="R72" s="227"/>
    </row>
    <row r="73" spans="1:18" ht="15.75" customHeight="1" hidden="1">
      <c r="A73" s="34"/>
      <c r="B73" s="36"/>
      <c r="C73" s="63" t="e">
        <f>VLOOKUP(B73,служ!$A$7:$B$15,2)</f>
        <v>#N/A</v>
      </c>
      <c r="D73" s="66"/>
      <c r="E73" s="66"/>
      <c r="F73" s="112"/>
      <c r="G73" s="34"/>
      <c r="H73" s="36"/>
      <c r="I73" s="208"/>
      <c r="J73" s="208"/>
      <c r="K73" s="208"/>
      <c r="L73" s="209"/>
      <c r="M73" s="34"/>
      <c r="N73" s="36"/>
      <c r="O73" s="208"/>
      <c r="P73" s="209"/>
      <c r="Q73" s="209"/>
      <c r="R73" s="227"/>
    </row>
    <row r="74" spans="1:18" ht="16.5" thickBot="1">
      <c r="A74" s="37"/>
      <c r="B74" s="38">
        <v>8</v>
      </c>
      <c r="C74" s="105" t="str">
        <f>VLOOKUP(B74,служ!$A$7:$B$15,2)</f>
        <v>20:10-21:30</v>
      </c>
      <c r="D74" s="66">
        <v>100</v>
      </c>
      <c r="E74" s="66"/>
      <c r="F74" s="149">
        <v>147</v>
      </c>
      <c r="G74" s="34"/>
      <c r="H74" s="36">
        <v>8</v>
      </c>
      <c r="I74" s="208"/>
      <c r="J74" s="208"/>
      <c r="K74" s="208"/>
      <c r="L74" s="209"/>
      <c r="M74" s="34"/>
      <c r="N74" s="36">
        <v>8</v>
      </c>
      <c r="O74" s="208"/>
      <c r="P74" s="209"/>
      <c r="Q74" s="209"/>
      <c r="R74" s="227"/>
    </row>
    <row r="75" spans="1:18" ht="16.5" hidden="1" thickBot="1">
      <c r="A75" s="34"/>
      <c r="B75" s="43"/>
      <c r="C75" s="58"/>
      <c r="D75" s="95"/>
      <c r="E75" s="95"/>
      <c r="F75" s="95"/>
      <c r="G75" s="34"/>
      <c r="H75" s="42"/>
      <c r="I75" s="219"/>
      <c r="J75" s="219"/>
      <c r="K75" s="219"/>
      <c r="L75" s="220"/>
      <c r="M75" s="34"/>
      <c r="N75" s="42"/>
      <c r="O75" s="208"/>
      <c r="P75" s="209"/>
      <c r="Q75" s="209"/>
      <c r="R75" s="227"/>
    </row>
    <row r="76" spans="1:18" ht="16.5" hidden="1" thickBot="1">
      <c r="A76" s="37"/>
      <c r="B76" s="38">
        <v>9</v>
      </c>
      <c r="C76" s="57"/>
      <c r="D76" s="97"/>
      <c r="E76" s="97"/>
      <c r="F76" s="97"/>
      <c r="G76" s="37"/>
      <c r="H76" s="38">
        <v>9</v>
      </c>
      <c r="I76" s="221"/>
      <c r="J76" s="221"/>
      <c r="K76" s="221"/>
      <c r="L76" s="210"/>
      <c r="M76" s="37"/>
      <c r="N76" s="38">
        <v>9</v>
      </c>
      <c r="O76" s="208"/>
      <c r="P76" s="209"/>
      <c r="Q76" s="209"/>
      <c r="R76" s="227"/>
    </row>
    <row r="77" spans="1:18" ht="16.5" hidden="1" thickBot="1">
      <c r="A77" s="34"/>
      <c r="B77" s="43"/>
      <c r="C77" s="58"/>
      <c r="D77" s="95"/>
      <c r="E77" s="95"/>
      <c r="F77" s="95"/>
      <c r="G77" s="34"/>
      <c r="H77" s="43"/>
      <c r="I77" s="222"/>
      <c r="J77" s="222"/>
      <c r="K77" s="222"/>
      <c r="L77" s="223"/>
      <c r="M77" s="34"/>
      <c r="N77" s="43"/>
      <c r="O77" s="222"/>
      <c r="P77" s="223"/>
      <c r="Q77" s="223"/>
      <c r="R77" s="238"/>
    </row>
    <row r="78" spans="1:18" ht="15.75">
      <c r="A78" s="30" t="s">
        <v>6</v>
      </c>
      <c r="B78" s="31">
        <v>1</v>
      </c>
      <c r="C78" s="61" t="str">
        <f>VLOOKUP(B78,служ!$A$7:$B$15,2)</f>
        <v> 8:10- 9:30</v>
      </c>
      <c r="D78" s="94"/>
      <c r="E78" s="94"/>
      <c r="F78" s="94"/>
      <c r="G78" s="30" t="s">
        <v>6</v>
      </c>
      <c r="H78" s="31">
        <v>1</v>
      </c>
      <c r="I78" s="207"/>
      <c r="J78" s="207"/>
      <c r="K78" s="207"/>
      <c r="L78" s="224"/>
      <c r="M78" s="30" t="s">
        <v>6</v>
      </c>
      <c r="N78" s="31">
        <v>1</v>
      </c>
      <c r="O78" s="207"/>
      <c r="P78" s="224"/>
      <c r="Q78" s="224"/>
      <c r="R78" s="231"/>
    </row>
    <row r="79" spans="1:18" ht="15.75" hidden="1">
      <c r="A79" s="34"/>
      <c r="B79" s="41"/>
      <c r="C79" s="62"/>
      <c r="D79" s="95"/>
      <c r="E79" s="95"/>
      <c r="F79" s="88"/>
      <c r="G79" s="34"/>
      <c r="H79" s="41"/>
      <c r="I79" s="225"/>
      <c r="J79" s="225"/>
      <c r="K79" s="225"/>
      <c r="L79" s="226"/>
      <c r="M79" s="34"/>
      <c r="N79" s="41"/>
      <c r="O79" s="225"/>
      <c r="P79" s="226"/>
      <c r="Q79" s="226"/>
      <c r="R79" s="237"/>
    </row>
    <row r="80" spans="1:18" ht="15.75">
      <c r="A80" s="34">
        <f>A62+1</f>
        <v>17</v>
      </c>
      <c r="B80" s="33">
        <v>2</v>
      </c>
      <c r="C80" s="63" t="str">
        <f>VLOOKUP(B80,служ!$A$7:$B$15,2)</f>
        <v> 9:40-11:00</v>
      </c>
      <c r="D80" s="66"/>
      <c r="E80" s="66"/>
      <c r="F80" s="66"/>
      <c r="G80" s="34">
        <f>G62+1</f>
        <v>24</v>
      </c>
      <c r="H80" s="33">
        <v>2</v>
      </c>
      <c r="I80" s="208"/>
      <c r="J80" s="208"/>
      <c r="K80" s="208"/>
      <c r="L80" s="209"/>
      <c r="M80" s="34">
        <f>M62+1</f>
        <v>31</v>
      </c>
      <c r="N80" s="33">
        <v>2</v>
      </c>
      <c r="O80" s="208"/>
      <c r="P80" s="209"/>
      <c r="Q80" s="209"/>
      <c r="R80" s="227"/>
    </row>
    <row r="81" spans="1:18" ht="15.75" hidden="1">
      <c r="A81" s="34"/>
      <c r="B81" s="33"/>
      <c r="C81" s="63" t="e">
        <f>VLOOKUP(B81,служ!$A$7:$B$15,2)</f>
        <v>#N/A</v>
      </c>
      <c r="D81" s="95"/>
      <c r="E81" s="95"/>
      <c r="F81" s="66"/>
      <c r="G81" s="34"/>
      <c r="H81" s="33"/>
      <c r="I81" s="208"/>
      <c r="J81" s="208"/>
      <c r="K81" s="208"/>
      <c r="L81" s="209"/>
      <c r="M81" s="34"/>
      <c r="N81" s="33"/>
      <c r="O81" s="208"/>
      <c r="P81" s="209"/>
      <c r="Q81" s="209"/>
      <c r="R81" s="227"/>
    </row>
    <row r="82" spans="1:18" ht="15.75">
      <c r="A82" s="34"/>
      <c r="B82" s="35">
        <v>3</v>
      </c>
      <c r="C82" s="63" t="str">
        <f>VLOOKUP(B82,служ!$A$7:$B$15,2)</f>
        <v>11:30-12:50</v>
      </c>
      <c r="D82" s="66"/>
      <c r="E82" s="66"/>
      <c r="F82" s="66"/>
      <c r="G82" s="34"/>
      <c r="H82" s="35">
        <v>3</v>
      </c>
      <c r="I82" s="208"/>
      <c r="J82" s="208"/>
      <c r="K82" s="208"/>
      <c r="L82" s="209"/>
      <c r="M82" s="34"/>
      <c r="N82" s="35">
        <v>3</v>
      </c>
      <c r="O82" s="208"/>
      <c r="P82" s="209"/>
      <c r="Q82" s="209"/>
      <c r="R82" s="227"/>
    </row>
    <row r="83" spans="1:18" ht="15.75" customHeight="1" hidden="1">
      <c r="A83" s="34"/>
      <c r="B83" s="35"/>
      <c r="C83" s="63" t="e">
        <f>VLOOKUP(B83,служ!$A$7:$B$15,2)</f>
        <v>#N/A</v>
      </c>
      <c r="D83" s="88"/>
      <c r="E83" s="88"/>
      <c r="F83" s="66"/>
      <c r="G83" s="34"/>
      <c r="H83" s="35"/>
      <c r="I83" s="208"/>
      <c r="J83" s="208"/>
      <c r="K83" s="208"/>
      <c r="L83" s="209"/>
      <c r="M83" s="34"/>
      <c r="N83" s="35"/>
      <c r="O83" s="208"/>
      <c r="P83" s="209"/>
      <c r="Q83" s="209"/>
      <c r="R83" s="227"/>
    </row>
    <row r="84" spans="1:18" ht="15.75">
      <c r="A84" s="34"/>
      <c r="B84" s="35">
        <v>4</v>
      </c>
      <c r="C84" s="63" t="str">
        <f>VLOOKUP(B84,служ!$A$7:$B$15,2)</f>
        <v>13:10-14:30</v>
      </c>
      <c r="D84" s="66"/>
      <c r="E84" s="66"/>
      <c r="F84" s="260">
        <v>49</v>
      </c>
      <c r="G84" s="34"/>
      <c r="H84" s="35">
        <v>4</v>
      </c>
      <c r="I84" s="208"/>
      <c r="J84" s="208"/>
      <c r="K84" s="208"/>
      <c r="L84" s="209"/>
      <c r="M84" s="34"/>
      <c r="N84" s="35">
        <v>4</v>
      </c>
      <c r="O84" s="230"/>
      <c r="P84" s="229"/>
      <c r="Q84" s="229"/>
      <c r="R84" s="227"/>
    </row>
    <row r="85" spans="1:18" ht="15.75" hidden="1">
      <c r="A85" s="34"/>
      <c r="B85" s="35"/>
      <c r="C85" s="63" t="e">
        <f>VLOOKUP(B85,служ!$A$7:$B$15,2)</f>
        <v>#N/A</v>
      </c>
      <c r="D85" s="66"/>
      <c r="E85" s="66"/>
      <c r="F85" s="260"/>
      <c r="G85" s="34"/>
      <c r="H85" s="35"/>
      <c r="I85" s="208"/>
      <c r="J85" s="208"/>
      <c r="K85" s="208"/>
      <c r="L85" s="209"/>
      <c r="M85" s="34"/>
      <c r="N85" s="35"/>
      <c r="O85" s="208"/>
      <c r="P85" s="209"/>
      <c r="Q85" s="209"/>
      <c r="R85" s="227"/>
    </row>
    <row r="86" spans="1:18" ht="15.75">
      <c r="A86" s="34"/>
      <c r="B86" s="36">
        <v>5</v>
      </c>
      <c r="C86" s="63" t="str">
        <f>VLOOKUP(B86,служ!$A$7:$B$15,2)</f>
        <v>15:00-16:20</v>
      </c>
      <c r="D86" s="66"/>
      <c r="E86" s="66"/>
      <c r="F86" s="260">
        <v>49</v>
      </c>
      <c r="G86" s="34"/>
      <c r="H86" s="36">
        <v>5</v>
      </c>
      <c r="I86" s="208"/>
      <c r="J86" s="208"/>
      <c r="K86" s="208"/>
      <c r="L86" s="209"/>
      <c r="M86" s="34"/>
      <c r="N86" s="36">
        <v>5</v>
      </c>
      <c r="O86" s="208"/>
      <c r="P86" s="230"/>
      <c r="Q86" s="230"/>
      <c r="R86" s="227"/>
    </row>
    <row r="87" spans="1:18" ht="15.75" hidden="1">
      <c r="A87" s="34"/>
      <c r="B87" s="36"/>
      <c r="C87" s="63" t="e">
        <f>VLOOKUP(B87,служ!$A$7:$B$15,2)</f>
        <v>#N/A</v>
      </c>
      <c r="D87" s="66"/>
      <c r="E87" s="66"/>
      <c r="F87" s="66"/>
      <c r="G87" s="34"/>
      <c r="H87" s="36"/>
      <c r="I87" s="208"/>
      <c r="J87" s="208"/>
      <c r="K87" s="208"/>
      <c r="L87" s="209"/>
      <c r="M87" s="34"/>
      <c r="N87" s="36"/>
      <c r="O87" s="208"/>
      <c r="P87" s="208"/>
      <c r="Q87" s="208"/>
      <c r="R87" s="227"/>
    </row>
    <row r="88" spans="1:18" ht="15.75">
      <c r="A88" s="34"/>
      <c r="B88" s="36">
        <v>6</v>
      </c>
      <c r="C88" s="63" t="str">
        <f>VLOOKUP(B88,служ!$A$7:$B$15,2)</f>
        <v>16:40-18:00</v>
      </c>
      <c r="D88" s="66"/>
      <c r="E88" s="66">
        <v>96</v>
      </c>
      <c r="F88" s="112">
        <v>87</v>
      </c>
      <c r="G88" s="34"/>
      <c r="H88" s="36">
        <v>6</v>
      </c>
      <c r="I88" s="208"/>
      <c r="J88" s="208"/>
      <c r="K88" s="208"/>
      <c r="L88" s="209"/>
      <c r="M88" s="34"/>
      <c r="N88" s="36">
        <v>6</v>
      </c>
      <c r="O88" s="230"/>
      <c r="P88" s="229"/>
      <c r="Q88" s="209"/>
      <c r="R88" s="227"/>
    </row>
    <row r="89" spans="1:18" ht="15.75" hidden="1">
      <c r="A89" s="34"/>
      <c r="B89" s="36"/>
      <c r="C89" s="64" t="e">
        <f>VLOOKUP(B89,служ!$A$7:$B$15,2)</f>
        <v>#N/A</v>
      </c>
      <c r="D89" s="66"/>
      <c r="E89" s="66"/>
      <c r="F89" s="66"/>
      <c r="G89" s="34"/>
      <c r="H89" s="36"/>
      <c r="I89" s="208"/>
      <c r="J89" s="208"/>
      <c r="K89" s="208"/>
      <c r="L89" s="209"/>
      <c r="M89" s="34"/>
      <c r="N89" s="36"/>
      <c r="O89" s="208"/>
      <c r="P89" s="209"/>
      <c r="Q89" s="209"/>
      <c r="R89" s="227"/>
    </row>
    <row r="90" spans="1:18" ht="15.75">
      <c r="A90" s="34"/>
      <c r="B90" s="36">
        <v>7</v>
      </c>
      <c r="C90" s="63" t="str">
        <f>VLOOKUP(B90,служ!$A$7:$B$15,2)</f>
        <v>18:20-19:40</v>
      </c>
      <c r="D90" s="136">
        <v>100</v>
      </c>
      <c r="E90" s="66">
        <v>96</v>
      </c>
      <c r="F90" s="112">
        <v>87</v>
      </c>
      <c r="G90" s="34"/>
      <c r="H90" s="36">
        <v>7</v>
      </c>
      <c r="I90" s="208"/>
      <c r="J90" s="208"/>
      <c r="K90" s="208"/>
      <c r="L90" s="209"/>
      <c r="M90" s="34"/>
      <c r="N90" s="36">
        <v>7</v>
      </c>
      <c r="O90" s="230"/>
      <c r="P90" s="208"/>
      <c r="Q90" s="208"/>
      <c r="R90" s="236"/>
    </row>
    <row r="91" spans="1:18" ht="15.75" customHeight="1" hidden="1">
      <c r="A91" s="34"/>
      <c r="B91" s="36"/>
      <c r="C91" s="64" t="e">
        <f>VLOOKUP(B91,служ!$A$7:$B$15,2)</f>
        <v>#N/A</v>
      </c>
      <c r="D91" s="66"/>
      <c r="E91" s="66"/>
      <c r="F91" s="66"/>
      <c r="G91" s="34"/>
      <c r="H91" s="36"/>
      <c r="I91" s="208"/>
      <c r="J91" s="208"/>
      <c r="K91" s="208"/>
      <c r="L91" s="209"/>
      <c r="M91" s="34"/>
      <c r="N91" s="36"/>
      <c r="O91" s="208"/>
      <c r="P91" s="208"/>
      <c r="Q91" s="208"/>
      <c r="R91" s="227"/>
    </row>
    <row r="92" spans="1:18" ht="16.5" thickBot="1">
      <c r="A92" s="37"/>
      <c r="B92" s="38">
        <v>8</v>
      </c>
      <c r="C92" s="63" t="str">
        <f>VLOOKUP(B92,служ!$A$7:$B$15,2)</f>
        <v>20:10-21:30</v>
      </c>
      <c r="D92" s="66"/>
      <c r="E92" s="136">
        <v>96</v>
      </c>
      <c r="F92" s="97">
        <v>87</v>
      </c>
      <c r="G92" s="34"/>
      <c r="H92" s="38">
        <v>8</v>
      </c>
      <c r="I92" s="221"/>
      <c r="J92" s="221"/>
      <c r="K92" s="221"/>
      <c r="L92" s="210"/>
      <c r="M92" s="37"/>
      <c r="N92" s="38">
        <v>8</v>
      </c>
      <c r="O92" s="208"/>
      <c r="P92" s="208"/>
      <c r="Q92" s="208"/>
      <c r="R92" s="227"/>
    </row>
    <row r="93" spans="1:18" ht="16.5" hidden="1" thickBot="1">
      <c r="A93" s="34"/>
      <c r="B93" s="43"/>
      <c r="C93" s="58"/>
      <c r="D93" s="95"/>
      <c r="E93" s="95"/>
      <c r="F93" s="95"/>
      <c r="G93" s="34"/>
      <c r="H93" s="43"/>
      <c r="I93" s="222"/>
      <c r="J93" s="222"/>
      <c r="K93" s="222"/>
      <c r="L93" s="223"/>
      <c r="M93" s="34"/>
      <c r="N93" s="43"/>
      <c r="O93" s="225"/>
      <c r="P93" s="226"/>
      <c r="Q93" s="226"/>
      <c r="R93" s="237"/>
    </row>
    <row r="94" spans="1:18" ht="16.5" hidden="1" thickBot="1">
      <c r="A94" s="37"/>
      <c r="B94" s="38">
        <v>9</v>
      </c>
      <c r="C94" s="57"/>
      <c r="D94" s="97"/>
      <c r="E94" s="97"/>
      <c r="F94" s="97"/>
      <c r="G94" s="37"/>
      <c r="H94" s="38">
        <v>9</v>
      </c>
      <c r="I94" s="221"/>
      <c r="J94" s="221"/>
      <c r="K94" s="221"/>
      <c r="L94" s="210"/>
      <c r="M94" s="37"/>
      <c r="N94" s="38">
        <v>9</v>
      </c>
      <c r="O94" s="221"/>
      <c r="P94" s="210"/>
      <c r="Q94" s="210"/>
      <c r="R94" s="234"/>
    </row>
    <row r="95" spans="1:18" ht="16.5" hidden="1" thickBot="1">
      <c r="A95" s="34"/>
      <c r="B95" s="43"/>
      <c r="C95" s="58"/>
      <c r="D95" s="96"/>
      <c r="E95" s="96"/>
      <c r="F95" s="96"/>
      <c r="G95" s="34"/>
      <c r="H95" s="43"/>
      <c r="I95" s="219"/>
      <c r="J95" s="219"/>
      <c r="K95" s="219"/>
      <c r="L95" s="220"/>
      <c r="M95" s="34"/>
      <c r="N95" s="43"/>
      <c r="O95" s="222"/>
      <c r="P95" s="223"/>
      <c r="Q95" s="223"/>
      <c r="R95" s="238"/>
    </row>
    <row r="96" spans="1:18" ht="15.75">
      <c r="A96" s="30" t="s">
        <v>7</v>
      </c>
      <c r="B96" s="31">
        <v>1</v>
      </c>
      <c r="C96" s="53" t="str">
        <f>VLOOKUP(B96,служ!$D$7:$E$10,2)</f>
        <v> 9:10-10:30</v>
      </c>
      <c r="D96" s="94"/>
      <c r="E96" s="94"/>
      <c r="F96" s="258">
        <v>87</v>
      </c>
      <c r="G96" s="192" t="s">
        <v>7</v>
      </c>
      <c r="H96" s="186">
        <v>1</v>
      </c>
      <c r="I96" s="207"/>
      <c r="J96" s="207"/>
      <c r="K96" s="207"/>
      <c r="L96" s="231"/>
      <c r="M96" s="30" t="s">
        <v>7</v>
      </c>
      <c r="N96" s="31">
        <v>1</v>
      </c>
      <c r="O96" s="207"/>
      <c r="P96" s="224"/>
      <c r="Q96" s="224"/>
      <c r="R96" s="239"/>
    </row>
    <row r="97" spans="1:18" ht="15.75" customHeight="1" hidden="1">
      <c r="A97" s="34"/>
      <c r="B97" s="41"/>
      <c r="C97" s="55" t="e">
        <f>VLOOKUP(B97,служ!$D$7:$E$10,2)</f>
        <v>#N/A</v>
      </c>
      <c r="D97" s="66"/>
      <c r="E97" s="66"/>
      <c r="F97" s="112"/>
      <c r="G97" s="87"/>
      <c r="H97" s="187"/>
      <c r="I97" s="208"/>
      <c r="J97" s="208"/>
      <c r="K97" s="208"/>
      <c r="L97" s="227"/>
      <c r="M97" s="34"/>
      <c r="N97" s="41"/>
      <c r="O97" s="225"/>
      <c r="P97" s="226"/>
      <c r="Q97" s="226"/>
      <c r="R97" s="237"/>
    </row>
    <row r="98" spans="1:18" ht="15.75">
      <c r="A98" s="34">
        <f>A80+1</f>
        <v>18</v>
      </c>
      <c r="B98" s="33">
        <v>2</v>
      </c>
      <c r="C98" s="55" t="str">
        <f>VLOOKUP(B98,служ!$D$7:$E$10,2)</f>
        <v>10:40-12:00</v>
      </c>
      <c r="D98" s="66"/>
      <c r="E98" s="66"/>
      <c r="F98" s="112"/>
      <c r="G98" s="87">
        <f>G80+1</f>
        <v>25</v>
      </c>
      <c r="H98" s="188">
        <v>2</v>
      </c>
      <c r="I98" s="208"/>
      <c r="J98" s="208"/>
      <c r="K98" s="208"/>
      <c r="L98" s="227"/>
      <c r="M98" s="34">
        <f>M80+1</f>
        <v>32</v>
      </c>
      <c r="N98" s="33">
        <v>2</v>
      </c>
      <c r="O98" s="230"/>
      <c r="P98" s="229"/>
      <c r="Q98" s="209"/>
      <c r="R98" s="236"/>
    </row>
    <row r="99" spans="1:18" ht="15.75" customHeight="1" hidden="1">
      <c r="A99" s="34"/>
      <c r="B99" s="33"/>
      <c r="C99" s="55" t="e">
        <f>VLOOKUP(B99,служ!$D$7:$E$10,2)</f>
        <v>#N/A</v>
      </c>
      <c r="D99" s="66"/>
      <c r="E99" s="66"/>
      <c r="F99" s="112"/>
      <c r="G99" s="87"/>
      <c r="H99" s="188"/>
      <c r="I99" s="208"/>
      <c r="J99" s="208"/>
      <c r="K99" s="208"/>
      <c r="L99" s="227"/>
      <c r="M99" s="34"/>
      <c r="N99" s="33"/>
      <c r="O99" s="208"/>
      <c r="P99" s="209"/>
      <c r="Q99" s="209"/>
      <c r="R99" s="227"/>
    </row>
    <row r="100" spans="1:18" ht="15.75">
      <c r="A100" s="34"/>
      <c r="B100" s="35">
        <v>3</v>
      </c>
      <c r="C100" s="55" t="str">
        <f>VLOOKUP(B100,служ!$D$7:$E$10,2)</f>
        <v>12:40-14:00</v>
      </c>
      <c r="D100" s="136">
        <v>110</v>
      </c>
      <c r="E100" s="136">
        <v>110</v>
      </c>
      <c r="F100" s="149"/>
      <c r="G100" s="87"/>
      <c r="H100" s="185">
        <v>3</v>
      </c>
      <c r="I100" s="208"/>
      <c r="J100" s="208"/>
      <c r="K100" s="208"/>
      <c r="L100" s="227"/>
      <c r="M100" s="34"/>
      <c r="N100" s="35">
        <v>3</v>
      </c>
      <c r="O100" s="230"/>
      <c r="P100" s="208"/>
      <c r="Q100" s="208"/>
      <c r="R100" s="236"/>
    </row>
    <row r="101" spans="1:18" ht="15.75" customHeight="1" hidden="1">
      <c r="A101" s="34"/>
      <c r="B101" s="45"/>
      <c r="C101" s="55" t="e">
        <f>VLOOKUP(B101,служ!$D$7:$E$10,2)</f>
        <v>#N/A</v>
      </c>
      <c r="D101" s="66"/>
      <c r="E101" s="66"/>
      <c r="F101" s="112"/>
      <c r="G101" s="87"/>
      <c r="H101" s="189"/>
      <c r="I101" s="208"/>
      <c r="J101" s="208"/>
      <c r="K101" s="208"/>
      <c r="L101" s="227"/>
      <c r="M101" s="34"/>
      <c r="N101" s="45"/>
      <c r="O101" s="208"/>
      <c r="P101" s="208"/>
      <c r="Q101" s="208"/>
      <c r="R101" s="227"/>
    </row>
    <row r="102" spans="1:18" ht="15.75">
      <c r="A102" s="34"/>
      <c r="B102" s="35">
        <v>4</v>
      </c>
      <c r="C102" s="63" t="str">
        <f>VLOOKUP(B102,служ!$D$7:$E$10,2)</f>
        <v>14:10-15:30</v>
      </c>
      <c r="D102" s="66"/>
      <c r="E102" s="66"/>
      <c r="F102" s="112"/>
      <c r="G102" s="87"/>
      <c r="H102" s="185">
        <v>4</v>
      </c>
      <c r="I102" s="208"/>
      <c r="J102" s="208"/>
      <c r="K102" s="208"/>
      <c r="L102" s="227"/>
      <c r="M102" s="34"/>
      <c r="N102" s="35">
        <v>4</v>
      </c>
      <c r="O102" s="208"/>
      <c r="P102" s="208"/>
      <c r="Q102" s="208"/>
      <c r="R102" s="227"/>
    </row>
    <row r="103" spans="1:18" ht="15.75" customHeight="1" hidden="1">
      <c r="A103" s="34"/>
      <c r="B103" s="109"/>
      <c r="C103" s="59"/>
      <c r="D103" s="88"/>
      <c r="E103" s="88"/>
      <c r="F103" s="148"/>
      <c r="G103" s="87"/>
      <c r="H103" s="190"/>
      <c r="I103" s="230"/>
      <c r="J103" s="208"/>
      <c r="K103" s="208"/>
      <c r="L103" s="227"/>
      <c r="M103" s="34"/>
      <c r="N103" s="109"/>
      <c r="O103" s="208"/>
      <c r="P103" s="208"/>
      <c r="Q103" s="208"/>
      <c r="R103" s="227"/>
    </row>
    <row r="104" spans="1:18" ht="15.75" customHeight="1">
      <c r="A104" s="34"/>
      <c r="B104" s="145">
        <v>5</v>
      </c>
      <c r="C104" s="146" t="s">
        <v>131</v>
      </c>
      <c r="D104" s="66"/>
      <c r="E104" s="66"/>
      <c r="F104" s="112"/>
      <c r="G104" s="87"/>
      <c r="H104" s="145">
        <v>5</v>
      </c>
      <c r="I104" s="208"/>
      <c r="J104" s="208"/>
      <c r="K104" s="208"/>
      <c r="L104" s="227"/>
      <c r="M104" s="34"/>
      <c r="N104" s="145">
        <v>5</v>
      </c>
      <c r="O104" s="208"/>
      <c r="P104" s="208"/>
      <c r="Q104" s="230"/>
      <c r="R104" s="227"/>
    </row>
    <row r="105" spans="1:18" ht="16.5" customHeight="1" hidden="1" thickBot="1">
      <c r="A105" s="37"/>
      <c r="B105" s="110"/>
      <c r="C105" s="83"/>
      <c r="D105" s="66"/>
      <c r="E105" s="66"/>
      <c r="F105" s="112"/>
      <c r="G105" s="184"/>
      <c r="H105" s="191"/>
      <c r="I105" s="230"/>
      <c r="J105" s="208"/>
      <c r="K105" s="208"/>
      <c r="L105" s="227"/>
      <c r="M105" s="37"/>
      <c r="N105" s="110"/>
      <c r="O105" s="208"/>
      <c r="P105" s="208"/>
      <c r="Q105" s="208"/>
      <c r="R105" s="227"/>
    </row>
    <row r="106" spans="1:18" ht="16.5" customHeight="1" thickBot="1">
      <c r="A106" s="37"/>
      <c r="B106" s="110">
        <v>6</v>
      </c>
      <c r="C106" s="83" t="s">
        <v>98</v>
      </c>
      <c r="D106" s="97"/>
      <c r="E106" s="97"/>
      <c r="F106" s="113"/>
      <c r="G106" s="184"/>
      <c r="H106" s="191">
        <v>6</v>
      </c>
      <c r="I106" s="233"/>
      <c r="J106" s="233"/>
      <c r="K106" s="233"/>
      <c r="L106" s="234"/>
      <c r="M106" s="34"/>
      <c r="N106" s="110">
        <v>6</v>
      </c>
      <c r="O106" s="221"/>
      <c r="P106" s="221"/>
      <c r="Q106" s="221"/>
      <c r="R106" s="234"/>
    </row>
    <row r="107" spans="1:18" ht="16.5" hidden="1" thickBot="1">
      <c r="A107" s="34"/>
      <c r="B107" s="181"/>
      <c r="C107" s="62"/>
      <c r="D107" s="95"/>
      <c r="E107" s="95"/>
      <c r="F107" s="95"/>
      <c r="G107" s="34"/>
      <c r="H107" s="181"/>
      <c r="I107" s="222"/>
      <c r="J107" s="222"/>
      <c r="K107" s="222"/>
      <c r="L107" s="223"/>
      <c r="M107" s="34"/>
      <c r="N107" s="181"/>
      <c r="O107" s="222"/>
      <c r="P107" s="223"/>
      <c r="Q107" s="223"/>
      <c r="R107" s="238"/>
    </row>
    <row r="108" spans="1:18" ht="15.75">
      <c r="A108" s="30" t="s">
        <v>8</v>
      </c>
      <c r="B108" s="31">
        <v>1</v>
      </c>
      <c r="C108" s="53" t="str">
        <f>VLOOKUP(B108,служ!$F$7:$G$10,2)</f>
        <v> 9:10-10:30</v>
      </c>
      <c r="D108" s="262">
        <v>125</v>
      </c>
      <c r="E108" s="262">
        <v>125</v>
      </c>
      <c r="F108" s="147"/>
      <c r="G108" s="30" t="s">
        <v>8</v>
      </c>
      <c r="H108" s="31">
        <v>1</v>
      </c>
      <c r="I108" s="208"/>
      <c r="J108" s="208"/>
      <c r="K108" s="208"/>
      <c r="L108" s="227"/>
      <c r="M108" s="30" t="s">
        <v>8</v>
      </c>
      <c r="N108" s="31">
        <v>1</v>
      </c>
      <c r="O108" s="240"/>
      <c r="P108" s="240"/>
      <c r="Q108" s="240"/>
      <c r="R108" s="239"/>
    </row>
    <row r="109" spans="1:18" ht="15.75" customHeight="1" hidden="1">
      <c r="A109" s="34"/>
      <c r="B109" s="33"/>
      <c r="C109" s="55"/>
      <c r="D109" s="95"/>
      <c r="E109" s="95"/>
      <c r="F109" s="112"/>
      <c r="G109" s="34"/>
      <c r="H109" s="33"/>
      <c r="I109" s="208"/>
      <c r="J109" s="208"/>
      <c r="K109" s="208"/>
      <c r="L109" s="227"/>
      <c r="M109" s="34"/>
      <c r="N109" s="33"/>
      <c r="O109" s="222"/>
      <c r="P109" s="223"/>
      <c r="Q109" s="223"/>
      <c r="R109" s="238"/>
    </row>
    <row r="110" spans="1:18" ht="15.75">
      <c r="A110" s="87">
        <f>A98+1</f>
        <v>19</v>
      </c>
      <c r="B110" s="33">
        <v>2</v>
      </c>
      <c r="C110" s="55" t="str">
        <f>VLOOKUP(B110,служ!$F$7:$G$10,2)</f>
        <v>10:40-12:00</v>
      </c>
      <c r="D110" s="66"/>
      <c r="E110" s="66"/>
      <c r="F110" s="149">
        <v>49</v>
      </c>
      <c r="G110" s="87">
        <f>G98+1</f>
        <v>26</v>
      </c>
      <c r="H110" s="33">
        <v>2</v>
      </c>
      <c r="I110" s="208"/>
      <c r="J110" s="208"/>
      <c r="K110" s="208"/>
      <c r="L110" s="227"/>
      <c r="M110" s="34">
        <f>M98+1</f>
        <v>33</v>
      </c>
      <c r="N110" s="33">
        <v>2</v>
      </c>
      <c r="O110" s="230"/>
      <c r="P110" s="230"/>
      <c r="Q110" s="230"/>
      <c r="R110" s="237"/>
    </row>
    <row r="111" spans="1:18" ht="15.75" customHeight="1" hidden="1">
      <c r="A111" s="34"/>
      <c r="B111" s="35"/>
      <c r="C111" s="55"/>
      <c r="D111" s="88"/>
      <c r="E111" s="88"/>
      <c r="F111" s="112"/>
      <c r="G111" s="34"/>
      <c r="H111" s="35"/>
      <c r="I111" s="208"/>
      <c r="J111" s="208"/>
      <c r="K111" s="208"/>
      <c r="L111" s="227"/>
      <c r="M111" s="34"/>
      <c r="N111" s="35"/>
      <c r="O111" s="225"/>
      <c r="P111" s="226"/>
      <c r="Q111" s="226"/>
      <c r="R111" s="237"/>
    </row>
    <row r="112" spans="1:18" ht="15.75">
      <c r="A112" s="34"/>
      <c r="B112" s="35">
        <v>3</v>
      </c>
      <c r="C112" s="55" t="str">
        <f>VLOOKUP(B112,служ!$F$7:$G$10,2)</f>
        <v>12:30-13:50</v>
      </c>
      <c r="D112" s="66"/>
      <c r="E112" s="66"/>
      <c r="F112" s="112"/>
      <c r="G112" s="34"/>
      <c r="H112" s="35">
        <v>3</v>
      </c>
      <c r="I112" s="208"/>
      <c r="J112" s="208"/>
      <c r="K112" s="208"/>
      <c r="L112" s="227"/>
      <c r="M112" s="34"/>
      <c r="N112" s="35">
        <v>3</v>
      </c>
      <c r="O112" s="208"/>
      <c r="P112" s="208"/>
      <c r="Q112" s="208"/>
      <c r="R112" s="237"/>
    </row>
    <row r="113" spans="1:18" ht="15.75" customHeight="1" hidden="1">
      <c r="A113" s="34"/>
      <c r="B113" s="45"/>
      <c r="C113" s="55"/>
      <c r="D113" s="66"/>
      <c r="E113" s="66"/>
      <c r="F113" s="112"/>
      <c r="G113" s="34"/>
      <c r="H113" s="45"/>
      <c r="I113" s="208"/>
      <c r="J113" s="208"/>
      <c r="K113" s="208"/>
      <c r="L113" s="227"/>
      <c r="M113" s="34"/>
      <c r="N113" s="45"/>
      <c r="O113" s="222"/>
      <c r="P113" s="223"/>
      <c r="Q113" s="223"/>
      <c r="R113" s="238"/>
    </row>
    <row r="114" spans="1:18" ht="15.75">
      <c r="A114" s="34"/>
      <c r="B114" s="45">
        <v>4</v>
      </c>
      <c r="C114" s="55" t="str">
        <f>VLOOKUP(B114,служ!$F$7:$G$10,2)</f>
        <v>14:00-15:20</v>
      </c>
      <c r="D114" s="66"/>
      <c r="E114" s="66"/>
      <c r="F114" s="112"/>
      <c r="G114" s="34"/>
      <c r="H114" s="45">
        <v>4</v>
      </c>
      <c r="I114" s="208"/>
      <c r="J114" s="208"/>
      <c r="K114" s="208"/>
      <c r="L114" s="227"/>
      <c r="M114" s="34"/>
      <c r="N114" s="45">
        <v>4</v>
      </c>
      <c r="O114" s="241"/>
      <c r="P114" s="242"/>
      <c r="Q114" s="226"/>
      <c r="R114" s="237"/>
    </row>
    <row r="115" spans="1:18" ht="15.75" customHeight="1" hidden="1">
      <c r="A115" s="34"/>
      <c r="B115" s="45"/>
      <c r="C115" s="62"/>
      <c r="D115" s="95"/>
      <c r="E115" s="95"/>
      <c r="F115" s="148"/>
      <c r="G115" s="34"/>
      <c r="H115" s="45"/>
      <c r="I115" s="219"/>
      <c r="J115" s="219"/>
      <c r="K115" s="219"/>
      <c r="L115" s="235"/>
      <c r="M115" s="34"/>
      <c r="N115" s="45"/>
      <c r="O115" s="222"/>
      <c r="P115" s="223"/>
      <c r="Q115" s="223"/>
      <c r="R115" s="238"/>
    </row>
    <row r="116" spans="1:18" ht="15.75">
      <c r="A116" s="34"/>
      <c r="B116" s="45">
        <v>5</v>
      </c>
      <c r="C116" s="101" t="s">
        <v>81</v>
      </c>
      <c r="D116" s="66"/>
      <c r="E116" s="66"/>
      <c r="F116" s="148"/>
      <c r="G116" s="34"/>
      <c r="H116" s="45">
        <v>5</v>
      </c>
      <c r="I116" s="219"/>
      <c r="J116" s="230"/>
      <c r="K116" s="230"/>
      <c r="L116" s="227"/>
      <c r="M116" s="34"/>
      <c r="N116" s="45">
        <v>5</v>
      </c>
      <c r="O116" s="225"/>
      <c r="P116" s="223"/>
      <c r="Q116" s="223"/>
      <c r="R116" s="238"/>
    </row>
    <row r="117" spans="1:18" ht="15.75" customHeight="1" hidden="1">
      <c r="A117" s="34"/>
      <c r="B117" s="45"/>
      <c r="C117" s="62"/>
      <c r="D117" s="95"/>
      <c r="E117" s="95"/>
      <c r="F117" s="148"/>
      <c r="G117" s="34"/>
      <c r="H117" s="45"/>
      <c r="I117" s="219"/>
      <c r="J117" s="219"/>
      <c r="K117" s="219"/>
      <c r="L117" s="235"/>
      <c r="M117" s="34"/>
      <c r="N117" s="45"/>
      <c r="O117" s="95"/>
      <c r="P117" s="117"/>
      <c r="Q117" s="117"/>
      <c r="R117" s="199"/>
    </row>
    <row r="118" spans="1:18" ht="16.5" thickBot="1">
      <c r="A118" s="37"/>
      <c r="B118" s="40">
        <v>6</v>
      </c>
      <c r="C118" s="83" t="s">
        <v>82</v>
      </c>
      <c r="D118" s="102"/>
      <c r="E118" s="102"/>
      <c r="F118" s="182"/>
      <c r="G118" s="37"/>
      <c r="H118" s="40">
        <v>6</v>
      </c>
      <c r="I118" s="221"/>
      <c r="J118" s="221"/>
      <c r="K118" s="221"/>
      <c r="L118" s="234"/>
      <c r="M118" s="37"/>
      <c r="N118" s="40">
        <v>6</v>
      </c>
      <c r="O118" s="97"/>
      <c r="P118" s="118"/>
      <c r="Q118" s="118"/>
      <c r="R118" s="113"/>
    </row>
    <row r="120" spans="4:18" ht="12.75">
      <c r="D120">
        <f>COUNTIF(D6:D118,"&gt;0")+COUNTIF(D6:D118,"*")</f>
        <v>18</v>
      </c>
      <c r="E120">
        <f>COUNTIF(E6:E118,"&gt;0")+COUNTIF(E6:E118,"*")</f>
        <v>18</v>
      </c>
      <c r="F120">
        <f>COUNTIF(F6:F118,"&gt;0")+COUNTIF(F6:F118,"*")</f>
        <v>20</v>
      </c>
      <c r="I120">
        <f>COUNTIF(I6:I118,"&gt;0")+COUNTIF(I6:I118,"*")</f>
        <v>0</v>
      </c>
      <c r="J120">
        <f>COUNTIF(J6:J118,"&gt;0")+COUNTIF(J6:J118,"*")</f>
        <v>0</v>
      </c>
      <c r="K120">
        <f>COUNTIF(K6:K118,"&gt;0")+COUNTIF(K6:K118,"*")</f>
        <v>0</v>
      </c>
      <c r="L120">
        <f>COUNTIF(L6:L118,"&gt;0")+COUNTIF(L6:L118,"*")</f>
        <v>0</v>
      </c>
      <c r="O120">
        <f>COUNTIF(O6:O118,"&gt;0")+COUNTIF(O6:O118,"*")</f>
        <v>0</v>
      </c>
      <c r="P120">
        <f>COUNTIF(P6:P118,"&gt;0")+COUNTIF(P6:P118,"*")</f>
        <v>0</v>
      </c>
      <c r="Q120">
        <f>COUNTIF(Q6:Q118,"&gt;0")+COUNTIF(Q6:Q118,"*")</f>
        <v>0</v>
      </c>
      <c r="R120">
        <f>COUNTIF(R6:R118,"&gt;0")+COUNTIF(R6:R118,"*")</f>
        <v>0</v>
      </c>
    </row>
    <row r="121" spans="4:18" ht="12.75">
      <c r="D121">
        <f>COUNTIF(D6:D118,"&gt;0")</f>
        <v>18</v>
      </c>
      <c r="E121">
        <f>COUNTIF(E6:E118,"&gt;0")</f>
        <v>18</v>
      </c>
      <c r="F121">
        <f>COUNTIF(F6:F118,"&gt;0")</f>
        <v>20</v>
      </c>
      <c r="I121">
        <f>COUNTIF(I6:I118,"&gt;0")</f>
        <v>0</v>
      </c>
      <c r="J121">
        <f>COUNTIF(J6:J118,"&gt;0")</f>
        <v>0</v>
      </c>
      <c r="K121">
        <f>COUNTIF(K6:K118,"&gt;0")</f>
        <v>0</v>
      </c>
      <c r="L121">
        <f>COUNTIF(L6:L118,"&gt;0")</f>
        <v>0</v>
      </c>
      <c r="O121">
        <f>COUNTIF(O6:O118,"&gt;0")</f>
        <v>0</v>
      </c>
      <c r="P121">
        <f>COUNTIF(P6:P118,"&gt;0")</f>
        <v>0</v>
      </c>
      <c r="Q121">
        <f>COUNTIF(Q6:Q118,"&gt;0")</f>
        <v>0</v>
      </c>
      <c r="R121">
        <f>COUNTIF(R6:R118,"&gt;0")</f>
        <v>0</v>
      </c>
    </row>
    <row r="123" spans="4:6" ht="12.75">
      <c r="D123">
        <f aca="true" t="shared" si="1" ref="D123:F124">(D120+J120+P120)*2</f>
        <v>36</v>
      </c>
      <c r="E123">
        <f t="shared" si="1"/>
        <v>36</v>
      </c>
      <c r="F123">
        <f t="shared" si="1"/>
        <v>40</v>
      </c>
    </row>
    <row r="124" spans="4:6" ht="12.75">
      <c r="D124">
        <f t="shared" si="1"/>
        <v>36</v>
      </c>
      <c r="E124">
        <f t="shared" si="1"/>
        <v>36</v>
      </c>
      <c r="F124">
        <f t="shared" si="1"/>
        <v>40</v>
      </c>
    </row>
    <row r="126" spans="3:18" ht="18">
      <c r="C126" s="336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</row>
  </sheetData>
  <sheetProtection/>
  <mergeCells count="1">
    <mergeCell ref="C126:R126"/>
  </mergeCells>
  <printOptions/>
  <pageMargins left="0.29" right="0.26" top="0.25" bottom="0.2" header="0.25" footer="0.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6.00390625" style="0" customWidth="1"/>
    <col min="2" max="2" width="25.25390625" style="0" bestFit="1" customWidth="1"/>
    <col min="3" max="3" width="9.375" style="0" customWidth="1"/>
    <col min="4" max="4" width="6.875" style="0" customWidth="1"/>
    <col min="5" max="5" width="6.625" style="0" customWidth="1"/>
    <col min="6" max="6" width="24.75390625" style="0" customWidth="1"/>
    <col min="7" max="7" width="10.00390625" style="0" bestFit="1" customWidth="1"/>
  </cols>
  <sheetData>
    <row r="1" spans="1:7" ht="12.75">
      <c r="A1" t="s">
        <v>14</v>
      </c>
      <c r="B1" t="s">
        <v>65</v>
      </c>
      <c r="C1" t="s">
        <v>60</v>
      </c>
      <c r="D1" t="s">
        <v>66</v>
      </c>
      <c r="E1" t="s">
        <v>67</v>
      </c>
      <c r="F1" t="s">
        <v>61</v>
      </c>
      <c r="G1" t="s">
        <v>62</v>
      </c>
    </row>
    <row r="2" spans="1:7" ht="12.75">
      <c r="A2" t="e">
        <f>MID('1 нед'!#REF!,1,SEARCH("(",'1 нед'!#REF!)-1)</f>
        <v>#REF!</v>
      </c>
      <c r="B2" t="e">
        <f>MID('1 нед'!#REF!,SEARCH("(",'1 нед'!#REF!),16)</f>
        <v>#REF!</v>
      </c>
      <c r="C2" s="23">
        <v>38992</v>
      </c>
      <c r="D2" s="65" t="e">
        <f>TIMEVALUE(MID('1 нед'!#REF!,1,5))</f>
        <v>#REF!</v>
      </c>
      <c r="E2" s="65" t="e">
        <f>TIMEVALUE(MID('1 нед'!#REF!,7,11))</f>
        <v>#REF!</v>
      </c>
      <c r="F2" t="e">
        <f>'1 нед'!#REF!</f>
        <v>#REF!</v>
      </c>
      <c r="G2" t="str">
        <f>'1 нед'!$C$5</f>
        <v>э-18Уз-1 (16) э-18Уз-2 (16)</v>
      </c>
    </row>
    <row r="3" spans="1:7" ht="12.75">
      <c r="A3" t="e">
        <f>MID('1 нед'!#REF!,1,SEARCH("(",'1 нед'!#REF!)-1)</f>
        <v>#REF!</v>
      </c>
      <c r="B3" t="e">
        <f>MID('1 нед'!#REF!,SEARCH("(",'1 нед'!#REF!),16)</f>
        <v>#REF!</v>
      </c>
      <c r="C3" s="23">
        <f>C2</f>
        <v>38992</v>
      </c>
      <c r="D3" s="65" t="e">
        <f>TIMEVALUE(MID('1 нед'!#REF!,1,5))</f>
        <v>#REF!</v>
      </c>
      <c r="E3" s="65" t="e">
        <f>TIMEVALUE(MID('1 нед'!#REF!,7,11))</f>
        <v>#REF!</v>
      </c>
      <c r="F3" t="e">
        <f>'1 нед'!#REF!</f>
        <v>#REF!</v>
      </c>
      <c r="G3" t="str">
        <f>'1 нед'!$C$5</f>
        <v>э-18Уз-1 (16) э-18Уз-2 (16)</v>
      </c>
    </row>
    <row r="4" spans="1:7" ht="12.75">
      <c r="A4" t="e">
        <f>MID('1 нед'!#REF!,1,SEARCH("(",'1 нед'!#REF!)-1)</f>
        <v>#REF!</v>
      </c>
      <c r="B4" t="e">
        <f>MID('1 нед'!#REF!,SEARCH("(",'1 нед'!#REF!),16)</f>
        <v>#REF!</v>
      </c>
      <c r="C4" s="23">
        <f>C2</f>
        <v>38992</v>
      </c>
      <c r="D4" s="65" t="e">
        <f>TIMEVALUE(MID('1 нед'!#REF!,1,5))</f>
        <v>#REF!</v>
      </c>
      <c r="E4" s="65" t="e">
        <f>TIMEVALUE(MID('1 нед'!#REF!,7,11))</f>
        <v>#REF!</v>
      </c>
      <c r="F4" t="e">
        <f>'1 нед'!#REF!</f>
        <v>#REF!</v>
      </c>
      <c r="G4" t="str">
        <f>'1 нед'!$C$5</f>
        <v>э-18Уз-1 (16) э-18Уз-2 (16)</v>
      </c>
    </row>
    <row r="5" spans="1:7" ht="12.75">
      <c r="A5" t="e">
        <f>MID('1 нед'!C8,1,SEARCH("(",'1 нед'!C8)-1)</f>
        <v>#VALUE!</v>
      </c>
      <c r="B5" t="e">
        <f>MID('1 нед'!C8,SEARCH("(",'1 нед'!C8),16)</f>
        <v>#VALUE!</v>
      </c>
      <c r="C5" s="23">
        <f>C2</f>
        <v>38992</v>
      </c>
      <c r="D5" s="65">
        <f>TIMEVALUE(MID('1 нед'!B8,1,5))</f>
        <v>0.34027777777777773</v>
      </c>
      <c r="E5" s="65">
        <f>TIMEVALUE(MID('1 нед'!B8,7,11))</f>
        <v>0.3958333333333333</v>
      </c>
      <c r="F5" t="e">
        <f>'1 нед'!#REF!</f>
        <v>#REF!</v>
      </c>
      <c r="G5" t="str">
        <f>'1 нед'!$C$5</f>
        <v>э-18Уз-1 (16) э-18Уз-2 (16)</v>
      </c>
    </row>
    <row r="6" spans="1:7" ht="12.75">
      <c r="A6" t="e">
        <f>MID('1 нед'!C10,1,SEARCH("(",'1 нед'!C10)-1)</f>
        <v>#VALUE!</v>
      </c>
      <c r="B6" t="e">
        <f>MID('1 нед'!C10,SEARCH("(",'1 нед'!C10),16)</f>
        <v>#VALUE!</v>
      </c>
      <c r="C6" s="23">
        <f>C2</f>
        <v>38992</v>
      </c>
      <c r="D6" s="65">
        <f>TIMEVALUE(MID('1 нед'!B10,1,5))</f>
        <v>0.40277777777777773</v>
      </c>
      <c r="E6" s="65">
        <f>TIMEVALUE(MID('1 нед'!B10,7,11))</f>
        <v>0.4583333333333333</v>
      </c>
      <c r="F6">
        <f>'1 нед'!C9</f>
        <v>0</v>
      </c>
      <c r="G6" t="str">
        <f>'1 нед'!$C$5</f>
        <v>э-18Уз-1 (16) э-18Уз-2 (16)</v>
      </c>
    </row>
    <row r="7" spans="1:7" ht="12.75">
      <c r="A7" t="str">
        <f>MID('1 нед'!C16,1,SEARCH("(",'1 нед'!C16)-1)</f>
        <v>Белых С.А. </v>
      </c>
      <c r="B7" t="str">
        <f>MID('1 нед'!C16,SEARCH("(",'1 нед'!C16),16)</f>
        <v>(ауд. 407, к.1)</v>
      </c>
      <c r="C7" s="23">
        <f>C2</f>
        <v>38992</v>
      </c>
      <c r="D7" s="65">
        <f>TIMEVALUE(MID('1 нед'!B16,1,5))</f>
        <v>0.625</v>
      </c>
      <c r="E7" s="65">
        <f>TIMEVALUE(MID('1 нед'!B16,7,11))</f>
        <v>0.6805555555555555</v>
      </c>
      <c r="F7" t="str">
        <f>'1 нед'!C15</f>
        <v>Научно-исследовательский семинар</v>
      </c>
      <c r="G7" t="str">
        <f>'1 нед'!$C$5</f>
        <v>э-18Уз-1 (16) э-18Уз-2 (16)</v>
      </c>
    </row>
    <row r="8" spans="1:7" ht="12.75">
      <c r="A8" t="str">
        <f>MID('1 нед'!C18,1,SEARCH("(",'1 нед'!C18)-1)</f>
        <v>Рудник С.К. </v>
      </c>
      <c r="B8" t="str">
        <f>MID('1 нед'!C18,SEARCH("(",'1 нед'!C18),16)</f>
        <v>(ауд. 407, к.1)</v>
      </c>
      <c r="C8" s="23">
        <f>C2</f>
        <v>38992</v>
      </c>
      <c r="D8" s="65">
        <f>TIMEVALUE(MID('1 нед'!B18,1,5))</f>
        <v>0.6944444444444445</v>
      </c>
      <c r="E8" s="65">
        <f>TIMEVALUE(MID('1 нед'!B18,7,11))</f>
        <v>0.75</v>
      </c>
      <c r="F8" t="str">
        <f>'1 нед'!C17</f>
        <v>он лайн Проектный семинар</v>
      </c>
      <c r="G8" t="str">
        <f>'1 нед'!$C$5</f>
        <v>э-18Уз-1 (16) э-18Уз-2 (16)</v>
      </c>
    </row>
    <row r="9" spans="1:7" ht="12.75">
      <c r="A9" t="e">
        <f>MID('1 нед'!C24,1,SEARCH("(",'1 нед'!C24)-1)</f>
        <v>#VALUE!</v>
      </c>
      <c r="B9" t="e">
        <f>MID('1 нед'!C24,SEARCH("(",'1 нед'!C24),16)</f>
        <v>#VALUE!</v>
      </c>
      <c r="C9" s="23">
        <f>C8+1</f>
        <v>38993</v>
      </c>
      <c r="D9" s="65">
        <f>TIMEVALUE(MID('1 нед'!B24,1,5))</f>
        <v>0.34027777777777773</v>
      </c>
      <c r="E9" s="65">
        <f>TIMEVALUE(MID('1 нед'!B24,7,11))</f>
        <v>0.3958333333333333</v>
      </c>
      <c r="F9">
        <f>'1 нед'!C23</f>
        <v>0</v>
      </c>
      <c r="G9" t="str">
        <f>'1 нед'!$C$5</f>
        <v>э-18Уз-1 (16) э-18Уз-2 (16)</v>
      </c>
    </row>
    <row r="10" spans="1:7" ht="12.75">
      <c r="A10" t="e">
        <f>MID('1 нед'!#REF!,1,SEARCH("(",'1 нед'!#REF!)-1)</f>
        <v>#REF!</v>
      </c>
      <c r="B10" t="e">
        <f>MID('1 нед'!#REF!,SEARCH("(",'1 нед'!#REF!),16)</f>
        <v>#REF!</v>
      </c>
      <c r="C10" s="23">
        <f>C9</f>
        <v>38993</v>
      </c>
      <c r="D10" s="65" t="e">
        <f>TIMEVALUE(MID('1 нед'!#REF!,1,5))</f>
        <v>#REF!</v>
      </c>
      <c r="E10" s="65" t="e">
        <f>TIMEVALUE(MID('1 нед'!#REF!,7,11))</f>
        <v>#REF!</v>
      </c>
      <c r="F10" t="e">
        <f>'1 нед'!#REF!</f>
        <v>#REF!</v>
      </c>
      <c r="G10" t="str">
        <f>'1 нед'!$C$5</f>
        <v>э-18Уз-1 (16) э-18Уз-2 (16)</v>
      </c>
    </row>
    <row r="11" spans="1:7" ht="12.75">
      <c r="A11" t="e">
        <f>MID('1 нед'!#REF!,1,SEARCH("(",'1 нед'!#REF!)-1)</f>
        <v>#REF!</v>
      </c>
      <c r="B11" t="e">
        <f>MID('1 нед'!#REF!,SEARCH("(",'1 нед'!#REF!),16)</f>
        <v>#REF!</v>
      </c>
      <c r="C11" s="23">
        <f>C9</f>
        <v>38993</v>
      </c>
      <c r="D11" s="65" t="e">
        <f>TIMEVALUE(MID('1 нед'!#REF!,1,5))</f>
        <v>#REF!</v>
      </c>
      <c r="E11" s="65" t="e">
        <f>TIMEVALUE(MID('1 нед'!#REF!,7,11))</f>
        <v>#REF!</v>
      </c>
      <c r="F11" t="e">
        <f>'1 нед'!#REF!</f>
        <v>#REF!</v>
      </c>
      <c r="G11" t="str">
        <f>'1 нед'!$C$5</f>
        <v>э-18Уз-1 (16) э-18Уз-2 (16)</v>
      </c>
    </row>
    <row r="12" spans="1:7" ht="12.75">
      <c r="A12" t="e">
        <f>MID('1 нед'!C26,1,SEARCH("(",'1 нед'!C26)-1)</f>
        <v>#VALUE!</v>
      </c>
      <c r="B12" t="e">
        <f>MID('1 нед'!C26,SEARCH("(",'1 нед'!C26),16)</f>
        <v>#VALUE!</v>
      </c>
      <c r="C12" s="23">
        <f>C9</f>
        <v>38993</v>
      </c>
      <c r="D12" s="65">
        <f>TIMEVALUE(MID('1 нед'!B26,1,5))</f>
        <v>0.40277777777777773</v>
      </c>
      <c r="E12" s="65">
        <f>TIMEVALUE(MID('1 нед'!B26,7,11))</f>
        <v>0.4583333333333333</v>
      </c>
      <c r="F12">
        <f>'1 нед'!C25</f>
        <v>0</v>
      </c>
      <c r="G12" t="str">
        <f>'1 нед'!$C$5</f>
        <v>э-18Уз-1 (16) э-18Уз-2 (16)</v>
      </c>
    </row>
    <row r="13" spans="1:7" ht="12.75">
      <c r="A13" t="e">
        <f>MID('1 нед'!C28,1,SEARCH("(",'1 нед'!C28)-1)</f>
        <v>#VALUE!</v>
      </c>
      <c r="B13" t="e">
        <f>MID('1 нед'!C28,SEARCH("(",'1 нед'!C28),16)</f>
        <v>#VALUE!</v>
      </c>
      <c r="C13" s="23">
        <f>C9</f>
        <v>38993</v>
      </c>
      <c r="D13" s="65">
        <f>TIMEVALUE(MID('1 нед'!B28,1,5))</f>
        <v>0.4791666666666667</v>
      </c>
      <c r="E13" s="65">
        <f>TIMEVALUE(MID('1 нед'!B28,7,11))</f>
        <v>0.5347222222222222</v>
      </c>
      <c r="F13">
        <f>'1 нед'!C27</f>
        <v>0</v>
      </c>
      <c r="G13" t="str">
        <f>'1 нед'!$C$5</f>
        <v>э-18Уз-1 (16) э-18Уз-2 (16)</v>
      </c>
    </row>
    <row r="14" spans="1:7" ht="12.75">
      <c r="A14" t="e">
        <f>MID('1 нед'!C30,1,SEARCH("(",'1 нед'!C30)-1)</f>
        <v>#VALUE!</v>
      </c>
      <c r="B14" t="e">
        <f>MID('1 нед'!C30,SEARCH("(",'1 нед'!C30),16)</f>
        <v>#VALUE!</v>
      </c>
      <c r="C14" s="23">
        <f>C9</f>
        <v>38993</v>
      </c>
      <c r="D14" s="65">
        <f>TIMEVALUE(MID('1 нед'!B30,1,5))</f>
        <v>0.548611111111111</v>
      </c>
      <c r="E14" s="65">
        <f>TIMEVALUE(MID('1 нед'!B30,7,11))</f>
        <v>0.6041666666666666</v>
      </c>
      <c r="F14">
        <f>'1 нед'!C29</f>
        <v>0</v>
      </c>
      <c r="G14" t="str">
        <f>'1 нед'!$C$5</f>
        <v>э-18Уз-1 (16) э-18Уз-2 (16)</v>
      </c>
    </row>
    <row r="15" spans="1:7" ht="12.75">
      <c r="A15" t="e">
        <f>MID('1 нед'!C32,1,SEARCH("(",'1 нед'!C32)-1)</f>
        <v>#VALUE!</v>
      </c>
      <c r="B15" t="e">
        <f>MID('1 нед'!C32,SEARCH("(",'1 нед'!C32),16)</f>
        <v>#VALUE!</v>
      </c>
      <c r="C15" s="23">
        <f>C9</f>
        <v>38993</v>
      </c>
      <c r="D15" s="65">
        <f>TIMEVALUE(MID('1 нед'!B32,1,5))</f>
        <v>0.625</v>
      </c>
      <c r="E15" s="65">
        <f>TIMEVALUE(MID('1 нед'!B32,7,11))</f>
        <v>0.6805555555555555</v>
      </c>
      <c r="F15">
        <f>'1 нед'!C31</f>
        <v>0</v>
      </c>
      <c r="G15" t="str">
        <f>'1 нед'!$C$5</f>
        <v>э-18Уз-1 (16) э-18Уз-2 (16)</v>
      </c>
    </row>
    <row r="16" spans="1:7" ht="12.75">
      <c r="A16" t="e">
        <f>MID('1 нед'!C37,1,SEARCH("(",'1 нед'!C37)-1)</f>
        <v>#VALUE!</v>
      </c>
      <c r="B16" t="e">
        <f>MID('1 нед'!C37,SEARCH("(",'1 нед'!C37),16)</f>
        <v>#VALUE!</v>
      </c>
      <c r="C16" s="23">
        <f>C15+1</f>
        <v>38994</v>
      </c>
      <c r="D16" s="65" t="e">
        <f>TIMEVALUE(MID('1 нед'!B37,1,5))</f>
        <v>#VALUE!</v>
      </c>
      <c r="E16" s="65" t="e">
        <f>TIMEVALUE(MID('1 нед'!B37,7,11))</f>
        <v>#VALUE!</v>
      </c>
      <c r="F16" t="e">
        <f>'1 нед'!#REF!</f>
        <v>#REF!</v>
      </c>
      <c r="G16" t="str">
        <f>'1 нед'!$C$5</f>
        <v>э-18Уз-1 (16) э-18Уз-2 (16)</v>
      </c>
    </row>
    <row r="17" spans="1:7" ht="12.75">
      <c r="A17" t="e">
        <f>MID('1 нед'!C40,1,SEARCH("(",'1 нед'!C40)-1)</f>
        <v>#VALUE!</v>
      </c>
      <c r="B17" t="e">
        <f>MID('1 нед'!C40,SEARCH("(",'1 нед'!C40),16)</f>
        <v>#VALUE!</v>
      </c>
      <c r="C17" s="23">
        <f>C16</f>
        <v>38994</v>
      </c>
      <c r="D17" s="65" t="e">
        <f>TIMEVALUE(MID('1 нед'!B39,1,5))</f>
        <v>#VALUE!</v>
      </c>
      <c r="E17" s="65" t="e">
        <f>TIMEVALUE(MID('1 нед'!B39,7,11))</f>
        <v>#VALUE!</v>
      </c>
      <c r="F17" t="str">
        <f>'1 нед'!C38</f>
        <v>Теплоухова В.О. (ауд. 405, к.1)</v>
      </c>
      <c r="G17" t="str">
        <f>'1 нед'!$C$5</f>
        <v>э-18Уз-1 (16) э-18Уз-2 (16)</v>
      </c>
    </row>
    <row r="18" spans="1:7" ht="12.75">
      <c r="A18" t="e">
        <f>MID('1 нед'!C41,1,SEARCH("(",'1 нед'!C41)-1)</f>
        <v>#VALUE!</v>
      </c>
      <c r="B18" t="e">
        <f>MID('1 нед'!C41,SEARCH("(",'1 нед'!C41),16)</f>
        <v>#VALUE!</v>
      </c>
      <c r="C18" s="23">
        <f>C16</f>
        <v>38994</v>
      </c>
      <c r="D18" s="65">
        <f>TIMEVALUE(MID('1 нед'!B41,1,5))</f>
        <v>0.40277777777777773</v>
      </c>
      <c r="E18" s="65">
        <f>TIMEVALUE(MID('1 нед'!B41,7,11))</f>
        <v>0.4583333333333333</v>
      </c>
      <c r="F18" t="e">
        <f>'1 нед'!#REF!</f>
        <v>#REF!</v>
      </c>
      <c r="G18" t="str">
        <f>'1 нед'!$C$5</f>
        <v>э-18Уз-1 (16) э-18Уз-2 (16)</v>
      </c>
    </row>
    <row r="19" spans="1:7" ht="12.75">
      <c r="A19" t="e">
        <f>MID('1 нед'!C43,1,SEARCH("(",'1 нед'!C43)-1)</f>
        <v>#VALUE!</v>
      </c>
      <c r="B19" t="e">
        <f>MID('1 нед'!C43,SEARCH("(",'1 нед'!C43),16)</f>
        <v>#VALUE!</v>
      </c>
      <c r="C19" s="23">
        <f>C16</f>
        <v>38994</v>
      </c>
      <c r="D19" s="65">
        <f>TIMEVALUE(MID('1 нед'!B43,1,5))</f>
        <v>0.4791666666666667</v>
      </c>
      <c r="E19" s="65">
        <f>TIMEVALUE(MID('1 нед'!B43,7,11))</f>
        <v>0.5347222222222222</v>
      </c>
      <c r="F19">
        <f>'1 нед'!C42</f>
        <v>0</v>
      </c>
      <c r="G19" t="str">
        <f>'1 нед'!$C$5</f>
        <v>э-18Уз-1 (16) э-18Уз-2 (16)</v>
      </c>
    </row>
    <row r="20" spans="1:7" ht="12.75">
      <c r="A20" t="e">
        <f>MID('1 нед'!C45,1,SEARCH("(",'1 нед'!C45)-1)</f>
        <v>#VALUE!</v>
      </c>
      <c r="B20" t="e">
        <f>MID('1 нед'!C45,SEARCH("(",'1 нед'!C45),16)</f>
        <v>#VALUE!</v>
      </c>
      <c r="C20" s="23">
        <f>C16</f>
        <v>38994</v>
      </c>
      <c r="D20" s="65">
        <f>TIMEVALUE(MID('1 нед'!B45,1,5))</f>
        <v>0.548611111111111</v>
      </c>
      <c r="E20" s="65">
        <f>TIMEVALUE(MID('1 нед'!B45,7,11))</f>
        <v>0.6041666666666666</v>
      </c>
      <c r="F20">
        <f>'1 нед'!C44</f>
        <v>0</v>
      </c>
      <c r="G20" t="str">
        <f>'1 нед'!$C$5</f>
        <v>э-18Уз-1 (16) э-18Уз-2 (16)</v>
      </c>
    </row>
    <row r="21" spans="1:7" ht="12.75">
      <c r="A21" t="str">
        <f>MID('1 нед'!C47,1,SEARCH("(",'1 нед'!C47)-1)</f>
        <v>Белых С.А. </v>
      </c>
      <c r="B21" t="str">
        <f>MID('1 нед'!C47,SEARCH("(",'1 нед'!C47),16)</f>
        <v>(ауд. 403, к.1)</v>
      </c>
      <c r="C21" s="23">
        <f>C16</f>
        <v>38994</v>
      </c>
      <c r="D21" s="65">
        <f>TIMEVALUE(MID('1 нед'!B47,1,5))</f>
        <v>0.625</v>
      </c>
      <c r="E21" s="65">
        <f>TIMEVALUE(MID('1 нед'!B47,7,11))</f>
        <v>0.6805555555555555</v>
      </c>
      <c r="F21" t="str">
        <f>'1 нед'!C46</f>
        <v>Научно-исследовательский семинар</v>
      </c>
      <c r="G21" t="str">
        <f>'1 нед'!$C$5</f>
        <v>э-18Уз-1 (16) э-18Уз-2 (16)</v>
      </c>
    </row>
    <row r="22" spans="1:7" ht="12.75">
      <c r="A22" t="e">
        <f>MID('1 нед'!#REF!,1,SEARCH("(",'1 нед'!#REF!)-1)</f>
        <v>#REF!</v>
      </c>
      <c r="B22" t="e">
        <f>MID('1 нед'!#REF!,SEARCH("(",'1 нед'!#REF!),16)</f>
        <v>#REF!</v>
      </c>
      <c r="C22" s="23">
        <f>C16</f>
        <v>38994</v>
      </c>
      <c r="D22" s="65" t="e">
        <f>TIMEVALUE(MID('1 нед'!#REF!,1,5))</f>
        <v>#REF!</v>
      </c>
      <c r="E22" s="65" t="e">
        <f>TIMEVALUE(MID('1 нед'!#REF!,7,11))</f>
        <v>#REF!</v>
      </c>
      <c r="F22" t="e">
        <f>'1 нед'!#REF!</f>
        <v>#REF!</v>
      </c>
      <c r="G22" t="str">
        <f>'1 нед'!$C$5</f>
        <v>э-18Уз-1 (16) э-18Уз-2 (16)</v>
      </c>
    </row>
    <row r="23" spans="1:7" ht="12.75">
      <c r="A23" t="str">
        <f>MID('1 нед'!C53,1,SEARCH("(",'1 нед'!C53)-1)</f>
        <v>Теплоухова В.О. </v>
      </c>
      <c r="B23" t="str">
        <f>MID('1 нед'!C53,SEARCH("(",'1 нед'!C53),16)</f>
        <v>(ауд. 401, к.1)</v>
      </c>
      <c r="C23" s="23">
        <f>C22+1</f>
        <v>38995</v>
      </c>
      <c r="D23" s="65">
        <f>TIMEVALUE(MID('1 нед'!B55,1,5))</f>
        <v>0.40277777777777773</v>
      </c>
      <c r="E23" s="65">
        <f>TIMEVALUE(MID('1 нед'!B55,7,11))</f>
        <v>0.4583333333333333</v>
      </c>
      <c r="F23">
        <f>'1 нед'!C54</f>
        <v>0</v>
      </c>
      <c r="G23" t="str">
        <f>'1 нед'!$C$5</f>
        <v>э-18Уз-1 (16) э-18Уз-2 (16)</v>
      </c>
    </row>
    <row r="24" spans="1:7" ht="12.75">
      <c r="A24" t="e">
        <f>MID('1 нед'!C55,1,SEARCH("(",'1 нед'!C55)-1)</f>
        <v>#VALUE!</v>
      </c>
      <c r="B24" t="e">
        <f>MID('1 нед'!C55,SEARCH("(",'1 нед'!C55),16)</f>
        <v>#VALUE!</v>
      </c>
      <c r="C24" s="23">
        <f>C23</f>
        <v>38995</v>
      </c>
      <c r="D24" s="65">
        <f>TIMEVALUE(MID('1 нед'!B57,1,5))</f>
        <v>0.4791666666666667</v>
      </c>
      <c r="E24" s="65">
        <f>TIMEVALUE(MID('1 нед'!B57,7,11))</f>
        <v>0.5347222222222222</v>
      </c>
      <c r="F24">
        <f>'1 нед'!C56</f>
        <v>0</v>
      </c>
      <c r="G24" t="str">
        <f>'1 нед'!$C$5</f>
        <v>э-18Уз-1 (16) э-18Уз-2 (16)</v>
      </c>
    </row>
    <row r="25" spans="1:7" ht="12.75">
      <c r="A25" t="e">
        <f>MID('1 нед'!#REF!,1,SEARCH("(",'1 нед'!#REF!)-1)</f>
        <v>#REF!</v>
      </c>
      <c r="B25" t="e">
        <f>MID('1 нед'!#REF!,SEARCH("(",'1 нед'!#REF!),16)</f>
        <v>#REF!</v>
      </c>
      <c r="C25" s="23">
        <f>C23</f>
        <v>38995</v>
      </c>
      <c r="D25" s="65">
        <f>TIMEVALUE(MID('1 нед'!B59,1,5))</f>
        <v>0.548611111111111</v>
      </c>
      <c r="E25" s="65">
        <f>TIMEVALUE(MID('1 нед'!B59,7,11))</f>
        <v>0.6041666666666666</v>
      </c>
      <c r="F25">
        <f>'1 нед'!C58</f>
        <v>0</v>
      </c>
      <c r="G25" t="str">
        <f>'1 нед'!$C$5</f>
        <v>э-18Уз-1 (16) э-18Уз-2 (16)</v>
      </c>
    </row>
    <row r="26" spans="1:7" ht="12.75">
      <c r="A26" t="e">
        <f>MID('1 нед'!C59,1,SEARCH("(",'1 нед'!C59)-1)</f>
        <v>#VALUE!</v>
      </c>
      <c r="B26" t="e">
        <f>MID('1 нед'!C59,SEARCH("(",'1 нед'!C59),16)</f>
        <v>#VALUE!</v>
      </c>
      <c r="C26" s="23">
        <f>C23</f>
        <v>38995</v>
      </c>
      <c r="D26" s="65">
        <f>TIMEVALUE(MID('1 нед'!B61,1,5))</f>
        <v>0.625</v>
      </c>
      <c r="E26" s="65">
        <f>TIMEVALUE(MID('1 нед'!B61,7,11))</f>
        <v>0.6805555555555555</v>
      </c>
      <c r="F26" t="e">
        <f>'1 нед'!#REF!</f>
        <v>#REF!</v>
      </c>
      <c r="G26" t="str">
        <f>'1 нед'!$C$5</f>
        <v>э-18Уз-1 (16) э-18Уз-2 (16)</v>
      </c>
    </row>
    <row r="27" spans="1:7" ht="12.75">
      <c r="A27" t="e">
        <f>MID('1 нед'!C57,1,SEARCH("(",'1 нед'!C57)-1)</f>
        <v>#VALUE!</v>
      </c>
      <c r="B27" t="e">
        <f>MID('1 нед'!C57,SEARCH("(",'1 нед'!C57),16)</f>
        <v>#VALUE!</v>
      </c>
      <c r="C27" s="23">
        <f>C23</f>
        <v>38995</v>
      </c>
      <c r="D27" s="65">
        <f>TIMEVALUE(MID('1 нед'!B63,1,5))</f>
        <v>0.6944444444444445</v>
      </c>
      <c r="E27" s="65">
        <f>TIMEVALUE(MID('1 нед'!B63,7,11))</f>
        <v>0.75</v>
      </c>
      <c r="F27" t="str">
        <f>'1 нед'!C62</f>
        <v>он лайн Проектный семинар</v>
      </c>
      <c r="G27" t="str">
        <f>'1 нед'!$C$5</f>
        <v>э-18Уз-1 (16) э-18Уз-2 (16)</v>
      </c>
    </row>
    <row r="28" spans="1:7" ht="12.75">
      <c r="A28" t="e">
        <f>MID('1 нед'!#REF!,1,SEARCH("(",'1 нед'!#REF!)-1)</f>
        <v>#REF!</v>
      </c>
      <c r="B28" t="e">
        <f>MID('1 нед'!#REF!,SEARCH("(",'1 нед'!#REF!),16)</f>
        <v>#REF!</v>
      </c>
      <c r="C28" s="23">
        <f>C23</f>
        <v>38995</v>
      </c>
      <c r="D28" s="65">
        <f>TIMEVALUE(MID('1 нед'!B65,1,5))</f>
        <v>0.7638888888888888</v>
      </c>
      <c r="E28" s="65">
        <f>TIMEVALUE(MID('1 нед'!B65,7,11))</f>
        <v>0.8194444444444445</v>
      </c>
      <c r="F28" t="str">
        <f>'1 нед'!C64</f>
        <v>он-лайн Корпоративное управление</v>
      </c>
      <c r="G28" t="str">
        <f>'1 нед'!$C$5</f>
        <v>э-18Уз-1 (16) э-18Уз-2 (16)</v>
      </c>
    </row>
    <row r="29" spans="1:7" ht="12.75">
      <c r="A29" t="e">
        <f>MID('1 нед'!C65,1,SEARCH("(",'1 нед'!C65)-1)</f>
        <v>#VALUE!</v>
      </c>
      <c r="B29" t="e">
        <f>MID('1 нед'!C65,SEARCH("(",'1 нед'!C65),16)</f>
        <v>#VALUE!</v>
      </c>
      <c r="C29" s="23">
        <f>C23</f>
        <v>38995</v>
      </c>
      <c r="D29" s="65">
        <f>TIMEVALUE(MID('1 нед'!B67,1,5))</f>
        <v>0.8402777777777778</v>
      </c>
      <c r="E29" s="65">
        <f>TIMEVALUE(MID('1 нед'!B67,7,11))</f>
        <v>0.8958333333333334</v>
      </c>
      <c r="F29" t="str">
        <f>'1 нед'!C66</f>
        <v>он-лайн Корпоративное управление</v>
      </c>
      <c r="G29" t="str">
        <f>'1 нед'!$C$5</f>
        <v>э-18Уз-1 (16) э-18Уз-2 (16)</v>
      </c>
    </row>
    <row r="30" spans="1:7" ht="12.75">
      <c r="A30" t="e">
        <f>MID('1 нед'!C67,1,SEARCH("(",'1 нед'!C67)-1)</f>
        <v>#VALUE!</v>
      </c>
      <c r="B30" t="e">
        <f>MID('1 нед'!C67,SEARCH("(",'1 нед'!C67),16)</f>
        <v>#VALUE!</v>
      </c>
      <c r="C30" s="23">
        <f>C29+1</f>
        <v>38996</v>
      </c>
      <c r="D30" s="65">
        <f>TIMEVALUE(MID('1 нед'!B71,1,5))</f>
        <v>0.40277777777777773</v>
      </c>
      <c r="E30" s="65">
        <f>TIMEVALUE(MID('1 нед'!B71,7,11))</f>
        <v>0.4583333333333333</v>
      </c>
      <c r="F30">
        <f>'1 нед'!C70</f>
        <v>0</v>
      </c>
      <c r="G30" t="str">
        <f>'1 нед'!$C$5</f>
        <v>э-18Уз-1 (16) э-18Уз-2 (16)</v>
      </c>
    </row>
    <row r="31" spans="1:7" ht="12.75">
      <c r="A31" t="e">
        <f>MID('1 нед'!C69,1,SEARCH("(",'1 нед'!C69)-1)</f>
        <v>#VALUE!</v>
      </c>
      <c r="B31" t="e">
        <f>MID('1 нед'!C69,SEARCH("(",'1 нед'!C69),16)</f>
        <v>#VALUE!</v>
      </c>
      <c r="C31" s="23">
        <f>C30</f>
        <v>38996</v>
      </c>
      <c r="D31" s="65">
        <f>TIMEVALUE(MID('1 нед'!B73,1,5))</f>
        <v>0.4791666666666667</v>
      </c>
      <c r="E31" s="65">
        <f>TIMEVALUE(MID('1 нед'!B73,7,11))</f>
        <v>0.5347222222222222</v>
      </c>
      <c r="F31">
        <f>'1 нед'!C72</f>
        <v>0</v>
      </c>
      <c r="G31" t="str">
        <f>'1 нед'!$C$5</f>
        <v>э-18Уз-1 (16) э-18Уз-2 (16)</v>
      </c>
    </row>
    <row r="32" spans="1:7" ht="12.75">
      <c r="A32" t="e">
        <f>MID('1 нед'!C71,1,SEARCH("(",'1 нед'!C71)-1)</f>
        <v>#VALUE!</v>
      </c>
      <c r="B32" t="e">
        <f>MID('1 нед'!C71,SEARCH("(",'1 нед'!C71),16)</f>
        <v>#VALUE!</v>
      </c>
      <c r="C32" s="23">
        <f>C30</f>
        <v>38996</v>
      </c>
      <c r="D32" s="65">
        <f>TIMEVALUE(MID('1 нед'!B75,1,5))</f>
        <v>0.548611111111111</v>
      </c>
      <c r="E32" s="65">
        <f>TIMEVALUE(MID('1 нед'!B75,7,11))</f>
        <v>0.6041666666666666</v>
      </c>
      <c r="F32">
        <f>'1 нед'!C74</f>
        <v>0</v>
      </c>
      <c r="G32" t="str">
        <f>'1 нед'!$C$5</f>
        <v>э-18Уз-1 (16) э-18Уз-2 (16)</v>
      </c>
    </row>
    <row r="33" spans="1:7" ht="12.75">
      <c r="A33" t="e">
        <f>MID('1 нед'!C73,1,SEARCH("(",'1 нед'!C73)-1)</f>
        <v>#VALUE!</v>
      </c>
      <c r="B33" t="e">
        <f>MID('1 нед'!C73,SEARCH("(",'1 нед'!C73),16)</f>
        <v>#VALUE!</v>
      </c>
      <c r="C33" s="23">
        <f>C30</f>
        <v>38996</v>
      </c>
      <c r="D33" s="65">
        <f>TIMEVALUE(MID('1 нед'!B77,1,5))</f>
        <v>0.625</v>
      </c>
      <c r="E33" s="65">
        <f>TIMEVALUE(MID('1 нед'!B77,7,11))</f>
        <v>0.6805555555555555</v>
      </c>
      <c r="F33">
        <f>'1 нед'!C76</f>
        <v>0</v>
      </c>
      <c r="G33" t="str">
        <f>'1 нед'!$C$5</f>
        <v>э-18Уз-1 (16) э-18Уз-2 (16)</v>
      </c>
    </row>
    <row r="34" spans="1:7" ht="12.75">
      <c r="A34" t="e">
        <f>MID('1 нед'!C75,1,SEARCH("(",'1 нед'!C75)-1)</f>
        <v>#VALUE!</v>
      </c>
      <c r="B34" t="e">
        <f>MID('1 нед'!C75,SEARCH("(",'1 нед'!C75),16)</f>
        <v>#VALUE!</v>
      </c>
      <c r="C34" s="23">
        <f>C30</f>
        <v>38996</v>
      </c>
      <c r="D34" s="65">
        <f>TIMEVALUE(MID('1 нед'!B79,1,5))</f>
        <v>0.6944444444444445</v>
      </c>
      <c r="E34" s="65">
        <f>TIMEVALUE(MID('1 нед'!B79,7,11))</f>
        <v>0.75</v>
      </c>
      <c r="F34">
        <f>'1 нед'!C78</f>
        <v>0</v>
      </c>
      <c r="G34" t="str">
        <f>'1 нед'!$C$5</f>
        <v>э-18Уз-1 (16) э-18Уз-2 (16)</v>
      </c>
    </row>
    <row r="35" spans="1:7" ht="12.75">
      <c r="A35" t="e">
        <f>MID('1 нед'!C77,1,SEARCH("(",'1 нед'!C77)-1)</f>
        <v>#VALUE!</v>
      </c>
      <c r="B35" t="e">
        <f>MID('1 нед'!C77,SEARCH("(",'1 нед'!C77),16)</f>
        <v>#VALUE!</v>
      </c>
      <c r="C35" s="23">
        <f>C30</f>
        <v>38996</v>
      </c>
      <c r="D35" s="65">
        <f>TIMEVALUE(MID('1 нед'!B81,1,5))</f>
        <v>0.7638888888888888</v>
      </c>
      <c r="E35" s="65">
        <f>TIMEVALUE(MID('1 нед'!B81,7,11))</f>
        <v>0.8194444444444445</v>
      </c>
      <c r="F35" t="str">
        <f>'1 нед'!C80</f>
        <v>он-лайн Корпоративное управление ЭКЗАМЕН</v>
      </c>
      <c r="G35" t="str">
        <f>'1 нед'!$C$5</f>
        <v>э-18Уз-1 (16) э-18Уз-2 (16)</v>
      </c>
    </row>
    <row r="36" spans="1:7" ht="12.75">
      <c r="A36" t="e">
        <f>MID('1 нед'!C79,1,SEARCH("(",'1 нед'!C79)-1)</f>
        <v>#VALUE!</v>
      </c>
      <c r="B36" t="e">
        <f>MID('1 нед'!C79,SEARCH("(",'1 нед'!C79),16)</f>
        <v>#VALUE!</v>
      </c>
      <c r="C36" s="23">
        <f>C30</f>
        <v>38996</v>
      </c>
      <c r="D36" s="65">
        <f>TIMEVALUE(MID('1 нед'!B83,1,5))</f>
        <v>0.8402777777777778</v>
      </c>
      <c r="E36" s="65">
        <f>TIMEVALUE(MID('1 нед'!B83,7,11))</f>
        <v>0.8958333333333334</v>
      </c>
      <c r="F36">
        <f>'1 нед'!C82</f>
        <v>0</v>
      </c>
      <c r="G36" t="str">
        <f>'1 нед'!$C$5</f>
        <v>э-18Уз-1 (16) э-18Уз-2 (16)</v>
      </c>
    </row>
    <row r="37" spans="1:7" ht="12.75">
      <c r="A37" t="e">
        <f>MID('1 нед'!C81,1,SEARCH("(",'1 нед'!C81)-1)</f>
        <v>#VALUE!</v>
      </c>
      <c r="B37" t="e">
        <f>MID('1 нед'!C81,SEARCH("(",'1 нед'!C81),16)</f>
        <v>#VALUE!</v>
      </c>
      <c r="C37" s="23">
        <f>C36+1</f>
        <v>38997</v>
      </c>
      <c r="D37" s="65">
        <f>TIMEVALUE(MID('1 нед'!B85,1,5))</f>
        <v>0.3819444444444444</v>
      </c>
      <c r="E37" s="65">
        <f>TIMEVALUE(MID('1 нед'!B85,7,11))</f>
        <v>0.4375</v>
      </c>
      <c r="F37">
        <f>'1 нед'!C84</f>
        <v>0</v>
      </c>
      <c r="G37" t="str">
        <f>'1 нед'!$C$5</f>
        <v>э-18Уз-1 (16) э-18Уз-2 (16)</v>
      </c>
    </row>
    <row r="38" spans="1:7" ht="12.75">
      <c r="A38" t="e">
        <f>MID('1 нед'!C83,1,SEARCH("(",'1 нед'!C83)-1)</f>
        <v>#VALUE!</v>
      </c>
      <c r="B38" t="e">
        <f>MID('1 нед'!C83,SEARCH("(",'1 нед'!C83),16)</f>
        <v>#VALUE!</v>
      </c>
      <c r="C38" s="23">
        <f>C37</f>
        <v>38997</v>
      </c>
      <c r="D38" s="65">
        <f>TIMEVALUE(MID('1 нед'!B87,1,5))</f>
        <v>0.4444444444444444</v>
      </c>
      <c r="E38" s="65">
        <f>TIMEVALUE(MID('1 нед'!B87,7,11))</f>
        <v>0.5</v>
      </c>
      <c r="F38">
        <f>'1 нед'!C86</f>
        <v>0</v>
      </c>
      <c r="G38" t="str">
        <f>'1 нед'!$C$5</f>
        <v>э-18Уз-1 (16) э-18Уз-2 (16)</v>
      </c>
    </row>
    <row r="39" spans="1:7" ht="12.75">
      <c r="A39" t="e">
        <f>MID('1 нед'!#REF!,1,SEARCH("(",'1 нед'!#REF!)-1)</f>
        <v>#REF!</v>
      </c>
      <c r="B39" t="e">
        <f>MID('1 нед'!#REF!,SEARCH("(",'1 нед'!#REF!),16)</f>
        <v>#REF!</v>
      </c>
      <c r="C39" s="23">
        <f>C37</f>
        <v>38997</v>
      </c>
      <c r="D39" s="65">
        <f>TIMEVALUE(MID('1 нед'!B89,1,5))</f>
        <v>0.5277777777777778</v>
      </c>
      <c r="E39" s="65">
        <f>TIMEVALUE(MID('1 нед'!B89,7,11))</f>
        <v>0.5833333333333334</v>
      </c>
      <c r="F39" t="str">
        <f>'1 нед'!C88</f>
        <v>он-лайн Научно-исследовательский семинар ЭКЗАМЕН</v>
      </c>
      <c r="G39" t="str">
        <f>'1 нед'!$C$5</f>
        <v>э-18Уз-1 (16) э-18Уз-2 (16)</v>
      </c>
    </row>
    <row r="40" spans="1:7" ht="12.75">
      <c r="A40" t="e">
        <f>MID('1 нед'!C85,1,SEARCH("(",'1 нед'!C85)-1)</f>
        <v>#VALUE!</v>
      </c>
      <c r="B40" t="e">
        <f>MID('1 нед'!C85,SEARCH("(",'1 нед'!C85),16)</f>
        <v>#VALUE!</v>
      </c>
      <c r="C40" s="23">
        <f>C37</f>
        <v>38997</v>
      </c>
      <c r="D40" s="65">
        <f>TIMEVALUE(MID('1 нед'!B91,1,5))</f>
        <v>0.5902777777777778</v>
      </c>
      <c r="E40" s="65">
        <f>TIMEVALUE(MID('1 нед'!B91,7,11))</f>
        <v>0.6458333333333334</v>
      </c>
      <c r="F40">
        <f>'1 нед'!C90</f>
        <v>0</v>
      </c>
      <c r="G40" t="str">
        <f>'1 нед'!$C$5</f>
        <v>э-18Уз-1 (16) э-18Уз-2 (16)</v>
      </c>
    </row>
    <row r="41" spans="1:7" ht="12.75">
      <c r="A41" t="e">
        <f>MID('1 нед'!C87,1,SEARCH("(",'1 нед'!C87)-1)</f>
        <v>#VALUE!</v>
      </c>
      <c r="B41" t="e">
        <f>MID('1 нед'!C87,SEARCH("(",'1 нед'!C87),16)</f>
        <v>#VALUE!</v>
      </c>
      <c r="C41" s="23">
        <f>C40+1</f>
        <v>38998</v>
      </c>
      <c r="D41" s="65">
        <f>TIMEVALUE(MID('1 нед'!B97,1,5))</f>
        <v>0.3819444444444444</v>
      </c>
      <c r="E41" s="65">
        <f>TIMEVALUE(MID('1 нед'!B97,7,11))</f>
        <v>0.4375</v>
      </c>
      <c r="F41" t="str">
        <f>'1 нед'!C96</f>
        <v>он-лайн Проектный семинар ЭКЗАМЕН</v>
      </c>
      <c r="G41" t="str">
        <f>'1 нед'!$C$5</f>
        <v>э-18Уз-1 (16) э-18Уз-2 (16)</v>
      </c>
    </row>
    <row r="42" spans="1:7" ht="12.75">
      <c r="A42" t="e">
        <f>MID('1 нед'!C89,1,SEARCH("(",'1 нед'!C89)-1)</f>
        <v>#VALUE!</v>
      </c>
      <c r="B42" t="e">
        <f>MID('1 нед'!C89,SEARCH("(",'1 нед'!C89),16)</f>
        <v>#VALUE!</v>
      </c>
      <c r="C42" s="23">
        <f>C41</f>
        <v>38998</v>
      </c>
      <c r="D42" s="65">
        <f>TIMEVALUE(MID('1 нед'!B99,1,5))</f>
        <v>0.4444444444444444</v>
      </c>
      <c r="E42" s="65">
        <f>TIMEVALUE(MID('1 нед'!B99,7,11))</f>
        <v>0.5</v>
      </c>
      <c r="F42" t="e">
        <f>'1 нед'!#REF!</f>
        <v>#REF!</v>
      </c>
      <c r="G42" t="str">
        <f>'1 нед'!$C$5</f>
        <v>э-18Уз-1 (16) э-18Уз-2 (16)</v>
      </c>
    </row>
    <row r="43" spans="1:7" ht="12.75">
      <c r="A43" t="e">
        <f>MID('1 нед'!C91,1,SEARCH("(",'1 нед'!C91)-1)</f>
        <v>#VALUE!</v>
      </c>
      <c r="B43" t="e">
        <f>MID('1 нед'!C91,SEARCH("(",'1 нед'!C91),16)</f>
        <v>#VALUE!</v>
      </c>
      <c r="C43" s="23">
        <f>C41</f>
        <v>38998</v>
      </c>
      <c r="D43" s="65">
        <f>TIMEVALUE(MID('1 нед'!B101,1,5))</f>
        <v>0.5208333333333334</v>
      </c>
      <c r="E43" s="65">
        <f>TIMEVALUE(MID('1 нед'!B101,7,11))</f>
        <v>0.576388888888889</v>
      </c>
      <c r="F43" t="e">
        <f>'1 нед'!#REF!</f>
        <v>#REF!</v>
      </c>
      <c r="G43" t="str">
        <f>'1 нед'!$C$5</f>
        <v>э-18Уз-1 (16) э-18Уз-2 (16)</v>
      </c>
    </row>
    <row r="44" spans="1:7" ht="12.75">
      <c r="A44" t="e">
        <f>MID('1 нед'!C97,1,SEARCH("(",'1 нед'!C97)-1)</f>
        <v>#VALUE!</v>
      </c>
      <c r="B44" t="e">
        <f>MID('1 нед'!C97,SEARCH("(",'1 нед'!C97),16)</f>
        <v>#VALUE!</v>
      </c>
      <c r="C44" s="23">
        <f>C41</f>
        <v>38998</v>
      </c>
      <c r="D44" s="65">
        <f>TIMEVALUE(MID('1 нед'!B103,1,5))</f>
        <v>0.5833333333333334</v>
      </c>
      <c r="E44" s="65">
        <f>TIMEVALUE(MID('1 нед'!B103,7,11))</f>
        <v>0.638888888888889</v>
      </c>
      <c r="F44">
        <f>'1 нед'!C102</f>
        <v>0</v>
      </c>
      <c r="G44" t="str">
        <f>'1 нед'!$C$5</f>
        <v>э-18Уз-1 (16) э-18Уз-2 (16)</v>
      </c>
    </row>
    <row r="45" spans="1:7" ht="12.75">
      <c r="A45" t="e">
        <f>MID('1 нед'!C99,1,SEARCH("(",'1 нед'!C99)-1)</f>
        <v>#VALUE!</v>
      </c>
      <c r="B45" t="e">
        <f>MID('1 нед'!C99,SEARCH("(",'1 нед'!C99),16)</f>
        <v>#VALUE!</v>
      </c>
      <c r="C45" s="23">
        <f>C44+1</f>
        <v>38999</v>
      </c>
      <c r="D45" s="65" t="e">
        <f>TIMEVALUE(MID('1 нед'!#REF!,1,5))</f>
        <v>#REF!</v>
      </c>
      <c r="E45" s="65" t="e">
        <f>TIMEVALUE(MID('1 нед'!#REF!,7,11))</f>
        <v>#REF!</v>
      </c>
      <c r="F45" t="e">
        <f>'1 нед'!#REF!</f>
        <v>#REF!</v>
      </c>
      <c r="G45" t="e">
        <f>'1 нед'!#REF!</f>
        <v>#REF!</v>
      </c>
    </row>
    <row r="46" spans="1:7" ht="12.75">
      <c r="A46" t="e">
        <f>MID('1 нед'!C100,1,SEARCH("(",'1 нед'!C100)-1)</f>
        <v>#VALUE!</v>
      </c>
      <c r="B46" t="e">
        <f>MID('1 нед'!C100,SEARCH("(",'1 нед'!C100),16)</f>
        <v>#VALUE!</v>
      </c>
      <c r="C46" s="23">
        <f>C45</f>
        <v>38999</v>
      </c>
      <c r="D46" s="65" t="e">
        <f>TIMEVALUE(MID('1 нед'!#REF!,1,5))</f>
        <v>#REF!</v>
      </c>
      <c r="E46" s="65" t="e">
        <f>TIMEVALUE(MID('1 нед'!#REF!,7,11))</f>
        <v>#REF!</v>
      </c>
      <c r="F46" t="e">
        <f>'1 нед'!#REF!</f>
        <v>#REF!</v>
      </c>
      <c r="G46" t="e">
        <f>'1 нед'!#REF!</f>
        <v>#REF!</v>
      </c>
    </row>
    <row r="47" spans="1:7" ht="12.75">
      <c r="A47" t="e">
        <f>MID('1 нед'!C103,1,SEARCH("(",'1 нед'!C103)-1)</f>
        <v>#VALUE!</v>
      </c>
      <c r="B47" t="e">
        <f>MID('1 нед'!C103,SEARCH("(",'1 нед'!C103),16)</f>
        <v>#VALUE!</v>
      </c>
      <c r="C47" s="23">
        <f>C45</f>
        <v>38999</v>
      </c>
      <c r="D47" s="65" t="e">
        <f>TIMEVALUE(MID('1 нед'!#REF!,1,5))</f>
        <v>#REF!</v>
      </c>
      <c r="E47" s="65" t="e">
        <f>TIMEVALUE(MID('1 нед'!#REF!,7,11))</f>
        <v>#REF!</v>
      </c>
      <c r="F47" t="e">
        <f>'1 нед'!#REF!</f>
        <v>#REF!</v>
      </c>
      <c r="G47" t="e">
        <f>'1 нед'!#REF!</f>
        <v>#REF!</v>
      </c>
    </row>
    <row r="48" spans="1:7" ht="12.75">
      <c r="A48" t="e">
        <f>MID('1 нед'!C108,1,SEARCH("(",'1 нед'!C108)-1)</f>
        <v>#VALUE!</v>
      </c>
      <c r="B48" t="e">
        <f>MID('1 нед'!C108,SEARCH("(",'1 нед'!C108),16)</f>
        <v>#VALUE!</v>
      </c>
      <c r="C48" s="23">
        <f>C45</f>
        <v>38999</v>
      </c>
      <c r="D48" s="65">
        <f>TIMEVALUE(MID('1 нед'!B8,1,5))</f>
        <v>0.34027777777777773</v>
      </c>
      <c r="E48" s="65">
        <f>TIMEVALUE(MID('1 нед'!B8,7,11))</f>
        <v>0.3958333333333333</v>
      </c>
      <c r="F48">
        <f>'1 нед'!C7</f>
        <v>0</v>
      </c>
      <c r="G48" t="e">
        <f>'1 нед'!#REF!</f>
        <v>#REF!</v>
      </c>
    </row>
    <row r="49" spans="1:7" ht="12.75">
      <c r="A49" t="e">
        <f>MID('1 нед'!C109,1,SEARCH("(",'1 нед'!C109)-1)</f>
        <v>#VALUE!</v>
      </c>
      <c r="B49" t="e">
        <f>MID('1 нед'!C109,SEARCH("(",'1 нед'!C109),16)</f>
        <v>#VALUE!</v>
      </c>
      <c r="C49" s="23">
        <f>C45</f>
        <v>38999</v>
      </c>
      <c r="D49" s="65">
        <f>TIMEVALUE(MID('1 нед'!B10,1,5))</f>
        <v>0.40277777777777773</v>
      </c>
      <c r="E49" s="65">
        <f>TIMEVALUE(MID('1 нед'!B10,7,11))</f>
        <v>0.4583333333333333</v>
      </c>
      <c r="F49" t="e">
        <f>'1 нед'!#REF!</f>
        <v>#REF!</v>
      </c>
      <c r="G49" t="e">
        <f>'1 нед'!#REF!</f>
        <v>#REF!</v>
      </c>
    </row>
    <row r="50" spans="1:7" ht="12.75">
      <c r="A50" t="e">
        <f>MID('1 нед'!C111,1,SEARCH("(",'1 нед'!C111)-1)</f>
        <v>#VALUE!</v>
      </c>
      <c r="B50" t="e">
        <f>MID('1 нед'!C111,SEARCH("(",'1 нед'!C111),16)</f>
        <v>#VALUE!</v>
      </c>
      <c r="C50" s="23">
        <f>C45</f>
        <v>38999</v>
      </c>
      <c r="D50" s="65">
        <f>TIMEVALUE(MID('1 нед'!B16,1,5))</f>
        <v>0.625</v>
      </c>
      <c r="E50" s="65">
        <f>TIMEVALUE(MID('1 нед'!B16,7,11))</f>
        <v>0.6805555555555555</v>
      </c>
      <c r="F50" t="e">
        <f>'1 нед'!#REF!</f>
        <v>#REF!</v>
      </c>
      <c r="G50" t="e">
        <f>'1 нед'!#REF!</f>
        <v>#REF!</v>
      </c>
    </row>
    <row r="51" spans="1:7" ht="12.75">
      <c r="A51" t="e">
        <f>MID('1 нед'!C113,1,SEARCH("(",'1 нед'!C113)-1)</f>
        <v>#VALUE!</v>
      </c>
      <c r="B51" t="e">
        <f>MID('1 нед'!C113,SEARCH("(",'1 нед'!C113),16)</f>
        <v>#VALUE!</v>
      </c>
      <c r="C51" s="23">
        <f>C45</f>
        <v>38999</v>
      </c>
      <c r="D51" s="65">
        <f>TIMEVALUE(MID('1 нед'!B18,1,5))</f>
        <v>0.6944444444444445</v>
      </c>
      <c r="E51" s="65">
        <f>TIMEVALUE(MID('1 нед'!B18,7,11))</f>
        <v>0.75</v>
      </c>
      <c r="F51" t="e">
        <f>'1 нед'!#REF!</f>
        <v>#REF!</v>
      </c>
      <c r="G51" t="e">
        <f>'1 нед'!#REF!</f>
        <v>#REF!</v>
      </c>
    </row>
    <row r="52" spans="1:7" ht="12.75">
      <c r="A52" t="e">
        <f>MID('1 нед'!C115,1,SEARCH("(",'1 нед'!C115)-1)</f>
        <v>#VALUE!</v>
      </c>
      <c r="B52" t="e">
        <f>MID('1 нед'!C115,SEARCH("(",'1 нед'!C115),16)</f>
        <v>#VALUE!</v>
      </c>
      <c r="C52" s="23">
        <f>C51+1</f>
        <v>39000</v>
      </c>
      <c r="D52" s="65">
        <f>TIMEVALUE(MID('1 нед'!B24,1,5))</f>
        <v>0.34027777777777773</v>
      </c>
      <c r="E52" s="65">
        <f>TIMEVALUE(MID('1 нед'!B24,7,11))</f>
        <v>0.3958333333333333</v>
      </c>
      <c r="F52" t="e">
        <f>'1 нед'!#REF!</f>
        <v>#REF!</v>
      </c>
      <c r="G52" t="e">
        <f>'1 нед'!#REF!</f>
        <v>#REF!</v>
      </c>
    </row>
    <row r="53" spans="1:7" ht="12.75">
      <c r="A53" t="e">
        <f>MID('1 нед'!C117,1,SEARCH("(",'1 нед'!C117)-1)</f>
        <v>#VALUE!</v>
      </c>
      <c r="B53" t="e">
        <f>MID('1 нед'!C117,SEARCH("(",'1 нед'!C117),16)</f>
        <v>#VALUE!</v>
      </c>
      <c r="C53" s="23">
        <f>C52</f>
        <v>39000</v>
      </c>
      <c r="D53" s="65" t="e">
        <f>TIMEVALUE(MID('1 нед'!#REF!,1,5))</f>
        <v>#REF!</v>
      </c>
      <c r="E53" s="65" t="e">
        <f>TIMEVALUE(MID('1 нед'!#REF!,7,11))</f>
        <v>#REF!</v>
      </c>
      <c r="F53" t="e">
        <f>'1 нед'!#REF!</f>
        <v>#REF!</v>
      </c>
      <c r="G53" t="e">
        <f>'1 нед'!#REF!</f>
        <v>#REF!</v>
      </c>
    </row>
    <row r="54" spans="1:7" ht="12.75">
      <c r="A54" t="e">
        <f>MID('1 нед'!C119,1,SEARCH("(",'1 нед'!C119)-1)</f>
        <v>#VALUE!</v>
      </c>
      <c r="B54" t="e">
        <f>MID('1 нед'!C119,SEARCH("(",'1 нед'!C119),16)</f>
        <v>#VALUE!</v>
      </c>
      <c r="C54" s="23">
        <f>C52</f>
        <v>39000</v>
      </c>
      <c r="D54" s="65" t="e">
        <f>TIMEVALUE(MID('1 нед'!#REF!,1,5))</f>
        <v>#REF!</v>
      </c>
      <c r="E54" s="65" t="e">
        <f>TIMEVALUE(MID('1 нед'!#REF!,7,11))</f>
        <v>#REF!</v>
      </c>
      <c r="F54" t="e">
        <f>'1 нед'!#REF!</f>
        <v>#REF!</v>
      </c>
      <c r="G54" t="e">
        <f>'1 нед'!#REF!</f>
        <v>#REF!</v>
      </c>
    </row>
    <row r="55" spans="1:7" ht="12.75">
      <c r="A55" t="e">
        <f>MID('1 нед'!C121,1,SEARCH("(",'1 нед'!C121)-1)</f>
        <v>#VALUE!</v>
      </c>
      <c r="B55" t="e">
        <f>MID('1 нед'!C121,SEARCH("(",'1 нед'!C121),16)</f>
        <v>#VALUE!</v>
      </c>
      <c r="C55" s="23">
        <f>C52</f>
        <v>39000</v>
      </c>
      <c r="D55" s="65">
        <f>TIMEVALUE(MID('1 нед'!B26,1,5))</f>
        <v>0.40277777777777773</v>
      </c>
      <c r="E55" s="65">
        <f>TIMEVALUE(MID('1 нед'!B26,7,11))</f>
        <v>0.4583333333333333</v>
      </c>
      <c r="F55" t="e">
        <f>'1 нед'!#REF!</f>
        <v>#REF!</v>
      </c>
      <c r="G55" t="e">
        <f>'1 нед'!#REF!</f>
        <v>#REF!</v>
      </c>
    </row>
    <row r="56" spans="1:7" ht="12.75">
      <c r="A56" t="e">
        <f>MID('1 нед'!C123,1,SEARCH("(",'1 нед'!C123)-1)</f>
        <v>#VALUE!</v>
      </c>
      <c r="B56" t="e">
        <f>MID('1 нед'!C123,SEARCH("(",'1 нед'!C123),16)</f>
        <v>#VALUE!</v>
      </c>
      <c r="C56" s="23">
        <f>C52</f>
        <v>39000</v>
      </c>
      <c r="D56" s="65">
        <f>TIMEVALUE(MID('1 нед'!B28,1,5))</f>
        <v>0.4791666666666667</v>
      </c>
      <c r="E56" s="65">
        <f>TIMEVALUE(MID('1 нед'!B28,7,11))</f>
        <v>0.5347222222222222</v>
      </c>
      <c r="F56" t="e">
        <f>'1 нед'!#REF!</f>
        <v>#REF!</v>
      </c>
      <c r="G56" t="e">
        <f>'1 нед'!#REF!</f>
        <v>#REF!</v>
      </c>
    </row>
    <row r="57" spans="1:7" ht="12.75">
      <c r="A57" t="e">
        <f>MID('1 нед'!C125,1,SEARCH("(",'1 нед'!C125)-1)</f>
        <v>#VALUE!</v>
      </c>
      <c r="B57" t="e">
        <f>MID('1 нед'!C125,SEARCH("(",'1 нед'!C125),16)</f>
        <v>#VALUE!</v>
      </c>
      <c r="C57" s="23">
        <f>C52</f>
        <v>39000</v>
      </c>
      <c r="D57" s="65">
        <f>TIMEVALUE(MID('1 нед'!B30,1,5))</f>
        <v>0.548611111111111</v>
      </c>
      <c r="E57" s="65">
        <f>TIMEVALUE(MID('1 нед'!B30,7,11))</f>
        <v>0.6041666666666666</v>
      </c>
      <c r="F57" t="e">
        <f>'1 нед'!#REF!</f>
        <v>#REF!</v>
      </c>
      <c r="G57" t="e">
        <f>'1 нед'!#REF!</f>
        <v>#REF!</v>
      </c>
    </row>
    <row r="58" spans="1:7" ht="12.75">
      <c r="A58" t="e">
        <f>MID('1 нед'!C127,1,SEARCH("(",'1 нед'!C127)-1)</f>
        <v>#VALUE!</v>
      </c>
      <c r="B58" t="e">
        <f>MID('1 нед'!C127,SEARCH("(",'1 нед'!C127),16)</f>
        <v>#VALUE!</v>
      </c>
      <c r="C58" s="23">
        <f>C52</f>
        <v>39000</v>
      </c>
      <c r="D58" s="65">
        <f>TIMEVALUE(MID('1 нед'!B32,1,5))</f>
        <v>0.625</v>
      </c>
      <c r="E58" s="65">
        <f>TIMEVALUE(MID('1 нед'!B32,7,11))</f>
        <v>0.6805555555555555</v>
      </c>
      <c r="F58" t="e">
        <f>'1 нед'!#REF!</f>
        <v>#REF!</v>
      </c>
      <c r="G58" t="e">
        <f>'1 нед'!#REF!</f>
        <v>#REF!</v>
      </c>
    </row>
    <row r="59" spans="1:7" ht="12.75">
      <c r="A59" t="e">
        <f>MID('1 нед'!C129,1,SEARCH("(",'1 нед'!C129)-1)</f>
        <v>#VALUE!</v>
      </c>
      <c r="B59" t="e">
        <f>MID('1 нед'!C129,SEARCH("(",'1 нед'!C129),16)</f>
        <v>#VALUE!</v>
      </c>
      <c r="C59" s="23">
        <f>C58+1</f>
        <v>39001</v>
      </c>
      <c r="D59" s="65" t="e">
        <f>TIMEVALUE(MID('1 нед'!B37,1,5))</f>
        <v>#VALUE!</v>
      </c>
      <c r="E59" s="65" t="e">
        <f>TIMEVALUE(MID('1 нед'!B37,7,11))</f>
        <v>#VALUE!</v>
      </c>
      <c r="F59" t="e">
        <f>'1 нед'!#REF!</f>
        <v>#REF!</v>
      </c>
      <c r="G59" t="e">
        <f>'1 нед'!#REF!</f>
        <v>#REF!</v>
      </c>
    </row>
    <row r="60" spans="1:7" ht="12.75">
      <c r="A60" t="e">
        <f>MID('1 нед'!C131,1,SEARCH("(",'1 нед'!C131)-1)</f>
        <v>#VALUE!</v>
      </c>
      <c r="B60" t="e">
        <f>MID('1 нед'!C131,SEARCH("(",'1 нед'!C131),16)</f>
        <v>#VALUE!</v>
      </c>
      <c r="C60" s="23">
        <f>C59</f>
        <v>39001</v>
      </c>
      <c r="D60" s="65" t="e">
        <f>TIMEVALUE(MID('1 нед'!B39,1,5))</f>
        <v>#VALUE!</v>
      </c>
      <c r="E60" s="65" t="e">
        <f>TIMEVALUE(MID('1 нед'!B39,7,11))</f>
        <v>#VALUE!</v>
      </c>
      <c r="F60" t="e">
        <f>'1 нед'!#REF!</f>
        <v>#REF!</v>
      </c>
      <c r="G60" t="e">
        <f>'1 нед'!#REF!</f>
        <v>#REF!</v>
      </c>
    </row>
    <row r="61" spans="1:7" ht="12.75">
      <c r="A61" t="e">
        <f>MID('1 нед'!C133,1,SEARCH("(",'1 нед'!C133)-1)</f>
        <v>#VALUE!</v>
      </c>
      <c r="B61" t="e">
        <f>MID('1 нед'!C133,SEARCH("(",'1 нед'!C133),16)</f>
        <v>#VALUE!</v>
      </c>
      <c r="C61" s="23">
        <f>C59</f>
        <v>39001</v>
      </c>
      <c r="D61" s="65">
        <f>TIMEVALUE(MID('1 нед'!B41,1,5))</f>
        <v>0.40277777777777773</v>
      </c>
      <c r="E61" s="65">
        <f>TIMEVALUE(MID('1 нед'!B41,7,11))</f>
        <v>0.4583333333333333</v>
      </c>
      <c r="F61" t="e">
        <f>'1 нед'!#REF!</f>
        <v>#REF!</v>
      </c>
      <c r="G61" t="e">
        <f>'1 нед'!#REF!</f>
        <v>#REF!</v>
      </c>
    </row>
    <row r="62" spans="1:7" ht="12.75">
      <c r="A62" t="e">
        <f>MID('1 нед'!C135,1,SEARCH("(",'1 нед'!C135)-1)</f>
        <v>#VALUE!</v>
      </c>
      <c r="B62" t="e">
        <f>MID('1 нед'!C135,SEARCH("(",'1 нед'!C135),16)</f>
        <v>#VALUE!</v>
      </c>
      <c r="C62" s="23">
        <f>C59</f>
        <v>39001</v>
      </c>
      <c r="D62" s="65">
        <f>TIMEVALUE(MID('1 нед'!B43,1,5))</f>
        <v>0.4791666666666667</v>
      </c>
      <c r="E62" s="65">
        <f>TIMEVALUE(MID('1 нед'!B43,7,11))</f>
        <v>0.5347222222222222</v>
      </c>
      <c r="F62" t="e">
        <f>'1 нед'!#REF!</f>
        <v>#REF!</v>
      </c>
      <c r="G62" t="e">
        <f>'1 нед'!#REF!</f>
        <v>#REF!</v>
      </c>
    </row>
    <row r="63" spans="1:7" ht="12.75">
      <c r="A63" t="e">
        <f>MID('1 нед'!C137,1,SEARCH("(",'1 нед'!C137)-1)</f>
        <v>#VALUE!</v>
      </c>
      <c r="B63" t="e">
        <f>MID('1 нед'!C137,SEARCH("(",'1 нед'!C137),16)</f>
        <v>#VALUE!</v>
      </c>
      <c r="C63" s="23">
        <f>C59</f>
        <v>39001</v>
      </c>
      <c r="D63" s="65">
        <f>TIMEVALUE(MID('1 нед'!B45,1,5))</f>
        <v>0.548611111111111</v>
      </c>
      <c r="E63" s="65">
        <f>TIMEVALUE(MID('1 нед'!B45,7,11))</f>
        <v>0.6041666666666666</v>
      </c>
      <c r="F63" t="e">
        <f>'1 нед'!#REF!</f>
        <v>#REF!</v>
      </c>
      <c r="G63" t="e">
        <f>'1 нед'!#REF!</f>
        <v>#REF!</v>
      </c>
    </row>
    <row r="64" spans="1:7" ht="12.75">
      <c r="A64" t="e">
        <f>MID('1 нед'!C139,1,SEARCH("(",'1 нед'!C139)-1)</f>
        <v>#VALUE!</v>
      </c>
      <c r="B64" t="e">
        <f>MID('1 нед'!C139,SEARCH("(",'1 нед'!C139),16)</f>
        <v>#VALUE!</v>
      </c>
      <c r="C64" s="23">
        <f>C59</f>
        <v>39001</v>
      </c>
      <c r="D64" s="65">
        <f>TIMEVALUE(MID('1 нед'!B47,1,5))</f>
        <v>0.625</v>
      </c>
      <c r="E64" s="65">
        <f>TIMEVALUE(MID('1 нед'!B47,7,11))</f>
        <v>0.6805555555555555</v>
      </c>
      <c r="F64" t="e">
        <f>'1 нед'!#REF!</f>
        <v>#REF!</v>
      </c>
      <c r="G64" t="e">
        <f>'1 нед'!#REF!</f>
        <v>#REF!</v>
      </c>
    </row>
    <row r="65" spans="1:7" ht="12.75">
      <c r="A65" t="e">
        <f>MID('1 нед'!C141,1,SEARCH("(",'1 нед'!C141)-1)</f>
        <v>#VALUE!</v>
      </c>
      <c r="B65" t="e">
        <f>MID('1 нед'!C141,SEARCH("(",'1 нед'!C141),16)</f>
        <v>#VALUE!</v>
      </c>
      <c r="C65" s="23">
        <f>C59</f>
        <v>39001</v>
      </c>
      <c r="D65" s="65" t="e">
        <f>TIMEVALUE(MID('1 нед'!#REF!,1,5))</f>
        <v>#REF!</v>
      </c>
      <c r="E65" s="65" t="e">
        <f>TIMEVALUE(MID('1 нед'!#REF!,7,11))</f>
        <v>#REF!</v>
      </c>
      <c r="F65" t="e">
        <f>'1 нед'!#REF!</f>
        <v>#REF!</v>
      </c>
      <c r="G65" t="e">
        <f>'1 нед'!#REF!</f>
        <v>#REF!</v>
      </c>
    </row>
    <row r="66" spans="1:7" ht="12.75">
      <c r="A66" t="e">
        <f>MID('1 нед'!C143,1,SEARCH("(",'1 нед'!C143)-1)</f>
        <v>#VALUE!</v>
      </c>
      <c r="B66" t="e">
        <f>MID('1 нед'!C143,SEARCH("(",'1 нед'!C143),16)</f>
        <v>#VALUE!</v>
      </c>
      <c r="C66" s="23">
        <f>C65+1</f>
        <v>39002</v>
      </c>
      <c r="D66" s="65">
        <f>TIMEVALUE(MID('1 нед'!B55,1,5))</f>
        <v>0.40277777777777773</v>
      </c>
      <c r="E66" s="65">
        <f>TIMEVALUE(MID('1 нед'!B55,7,11))</f>
        <v>0.4583333333333333</v>
      </c>
      <c r="F66" t="e">
        <f>'1 нед'!#REF!</f>
        <v>#REF!</v>
      </c>
      <c r="G66" t="e">
        <f>'1 нед'!#REF!</f>
        <v>#REF!</v>
      </c>
    </row>
    <row r="67" spans="1:7" ht="12.75">
      <c r="A67" t="e">
        <f>MID('1 нед'!C145,1,SEARCH("(",'1 нед'!C145)-1)</f>
        <v>#VALUE!</v>
      </c>
      <c r="B67" t="e">
        <f>MID('1 нед'!C145,SEARCH("(",'1 нед'!C145),16)</f>
        <v>#VALUE!</v>
      </c>
      <c r="C67" s="23">
        <f>C66</f>
        <v>39002</v>
      </c>
      <c r="D67" s="65">
        <f>TIMEVALUE(MID('1 нед'!B57,1,5))</f>
        <v>0.4791666666666667</v>
      </c>
      <c r="E67" s="65">
        <f>TIMEVALUE(MID('1 нед'!B57,7,11))</f>
        <v>0.5347222222222222</v>
      </c>
      <c r="F67" t="e">
        <f>'1 нед'!#REF!</f>
        <v>#REF!</v>
      </c>
      <c r="G67" t="e">
        <f>'1 нед'!#REF!</f>
        <v>#REF!</v>
      </c>
    </row>
    <row r="68" spans="1:7" ht="12.75">
      <c r="A68" t="e">
        <f>MID('1 нед'!C147,1,SEARCH("(",'1 нед'!C147)-1)</f>
        <v>#VALUE!</v>
      </c>
      <c r="B68" t="e">
        <f>MID('1 нед'!C147,SEARCH("(",'1 нед'!C147),16)</f>
        <v>#VALUE!</v>
      </c>
      <c r="C68" s="23">
        <f>C66</f>
        <v>39002</v>
      </c>
      <c r="D68" s="65">
        <f>TIMEVALUE(MID('1 нед'!B59,1,5))</f>
        <v>0.548611111111111</v>
      </c>
      <c r="E68" s="65">
        <f>TIMEVALUE(MID('1 нед'!B59,7,11))</f>
        <v>0.6041666666666666</v>
      </c>
      <c r="F68" t="e">
        <f>'1 нед'!#REF!</f>
        <v>#REF!</v>
      </c>
      <c r="G68" t="e">
        <f>'1 нед'!#REF!</f>
        <v>#REF!</v>
      </c>
    </row>
    <row r="69" spans="3:7" ht="12.75">
      <c r="C69" s="23">
        <f>C66</f>
        <v>39002</v>
      </c>
      <c r="D69" s="65">
        <f>TIMEVALUE(MID('1 нед'!B61,1,5))</f>
        <v>0.625</v>
      </c>
      <c r="E69" s="65">
        <f>TIMEVALUE(MID('1 нед'!B61,7,11))</f>
        <v>0.6805555555555555</v>
      </c>
      <c r="F69" t="e">
        <f>'1 нед'!#REF!</f>
        <v>#REF!</v>
      </c>
      <c r="G69" t="e">
        <f>'1 нед'!#REF!</f>
        <v>#REF!</v>
      </c>
    </row>
    <row r="70" spans="3:7" ht="12.75">
      <c r="C70" s="23">
        <f>C66</f>
        <v>39002</v>
      </c>
      <c r="D70" s="65">
        <f>TIMEVALUE(MID('1 нед'!B63,1,5))</f>
        <v>0.6944444444444445</v>
      </c>
      <c r="E70" s="65">
        <f>TIMEVALUE(MID('1 нед'!B63,7,11))</f>
        <v>0.75</v>
      </c>
      <c r="F70" t="e">
        <f>'1 нед'!#REF!</f>
        <v>#REF!</v>
      </c>
      <c r="G70" t="e">
        <f>'1 нед'!#REF!</f>
        <v>#REF!</v>
      </c>
    </row>
    <row r="71" spans="3:7" ht="12.75">
      <c r="C71" s="23">
        <f>C66</f>
        <v>39002</v>
      </c>
      <c r="D71" s="65">
        <f>TIMEVALUE(MID('1 нед'!B65,1,5))</f>
        <v>0.7638888888888888</v>
      </c>
      <c r="E71" s="65">
        <f>TIMEVALUE(MID('1 нед'!B65,7,11))</f>
        <v>0.8194444444444445</v>
      </c>
      <c r="F71" t="e">
        <f>'1 нед'!#REF!</f>
        <v>#REF!</v>
      </c>
      <c r="G71" t="e">
        <f>'1 нед'!#REF!</f>
        <v>#REF!</v>
      </c>
    </row>
    <row r="72" spans="3:7" ht="12.75">
      <c r="C72" s="23">
        <f>C66</f>
        <v>39002</v>
      </c>
      <c r="D72" s="65">
        <f>TIMEVALUE(MID('1 нед'!B67,1,5))</f>
        <v>0.8402777777777778</v>
      </c>
      <c r="E72" s="65">
        <f>TIMEVALUE(MID('1 нед'!B67,7,11))</f>
        <v>0.8958333333333334</v>
      </c>
      <c r="F72" t="e">
        <f>'1 нед'!#REF!</f>
        <v>#REF!</v>
      </c>
      <c r="G72" t="e">
        <f>'1 нед'!#REF!</f>
        <v>#REF!</v>
      </c>
    </row>
    <row r="73" spans="3:7" ht="12.75">
      <c r="C73" s="23">
        <f>C72+1</f>
        <v>39003</v>
      </c>
      <c r="D73" s="65">
        <f>TIMEVALUE(MID('1 нед'!B71,1,5))</f>
        <v>0.40277777777777773</v>
      </c>
      <c r="E73" s="65">
        <f>TIMEVALUE(MID('1 нед'!B71,7,11))</f>
        <v>0.4583333333333333</v>
      </c>
      <c r="F73" t="e">
        <f>'1 нед'!#REF!</f>
        <v>#REF!</v>
      </c>
      <c r="G73" t="e">
        <f>'1 нед'!#REF!</f>
        <v>#REF!</v>
      </c>
    </row>
    <row r="74" spans="3:7" ht="12.75">
      <c r="C74" s="23">
        <f>C73</f>
        <v>39003</v>
      </c>
      <c r="D74" s="65">
        <f>TIMEVALUE(MID('1 нед'!B73,1,5))</f>
        <v>0.4791666666666667</v>
      </c>
      <c r="E74" s="65">
        <f>TIMEVALUE(MID('1 нед'!B73,7,11))</f>
        <v>0.5347222222222222</v>
      </c>
      <c r="F74" t="e">
        <f>'1 нед'!#REF!</f>
        <v>#REF!</v>
      </c>
      <c r="G74" t="e">
        <f>'1 нед'!#REF!</f>
        <v>#REF!</v>
      </c>
    </row>
    <row r="75" spans="3:7" ht="12.75">
      <c r="C75" s="23">
        <f>C73</f>
        <v>39003</v>
      </c>
      <c r="D75" s="65">
        <f>TIMEVALUE(MID('1 нед'!B75,1,5))</f>
        <v>0.548611111111111</v>
      </c>
      <c r="E75" s="65">
        <f>TIMEVALUE(MID('1 нед'!B75,7,11))</f>
        <v>0.6041666666666666</v>
      </c>
      <c r="F75" t="e">
        <f>'1 нед'!#REF!</f>
        <v>#REF!</v>
      </c>
      <c r="G75" t="e">
        <f>'1 нед'!#REF!</f>
        <v>#REF!</v>
      </c>
    </row>
    <row r="76" spans="3:7" ht="12.75">
      <c r="C76" s="23">
        <f>C73</f>
        <v>39003</v>
      </c>
      <c r="D76" s="65">
        <f>TIMEVALUE(MID('1 нед'!B77,1,5))</f>
        <v>0.625</v>
      </c>
      <c r="E76" s="65">
        <f>TIMEVALUE(MID('1 нед'!B77,7,11))</f>
        <v>0.6805555555555555</v>
      </c>
      <c r="F76" t="e">
        <f>'1 нед'!#REF!</f>
        <v>#REF!</v>
      </c>
      <c r="G76" t="e">
        <f>'1 нед'!#REF!</f>
        <v>#REF!</v>
      </c>
    </row>
    <row r="77" spans="3:7" ht="12.75">
      <c r="C77" s="23">
        <f>C73</f>
        <v>39003</v>
      </c>
      <c r="D77" s="65">
        <f>TIMEVALUE(MID('1 нед'!B79,1,5))</f>
        <v>0.6944444444444445</v>
      </c>
      <c r="E77" s="65">
        <f>TIMEVALUE(MID('1 нед'!B79,7,11))</f>
        <v>0.75</v>
      </c>
      <c r="F77" t="e">
        <f>'1 нед'!#REF!</f>
        <v>#REF!</v>
      </c>
      <c r="G77" t="e">
        <f>'1 нед'!#REF!</f>
        <v>#REF!</v>
      </c>
    </row>
    <row r="78" spans="3:7" ht="12.75">
      <c r="C78" s="23">
        <f>C73</f>
        <v>39003</v>
      </c>
      <c r="D78" s="65">
        <f>TIMEVALUE(MID('1 нед'!B81,1,5))</f>
        <v>0.7638888888888888</v>
      </c>
      <c r="E78" s="65">
        <f>TIMEVALUE(MID('1 нед'!B81,7,11))</f>
        <v>0.8194444444444445</v>
      </c>
      <c r="F78" t="e">
        <f>'1 нед'!#REF!</f>
        <v>#REF!</v>
      </c>
      <c r="G78" t="e">
        <f>'1 нед'!#REF!</f>
        <v>#REF!</v>
      </c>
    </row>
    <row r="79" spans="3:7" ht="12.75">
      <c r="C79" s="23">
        <f>C73</f>
        <v>39003</v>
      </c>
      <c r="D79" s="65">
        <f>TIMEVALUE(MID('1 нед'!B83,1,5))</f>
        <v>0.8402777777777778</v>
      </c>
      <c r="E79" s="65">
        <f>TIMEVALUE(MID('1 нед'!B83,7,11))</f>
        <v>0.8958333333333334</v>
      </c>
      <c r="F79" t="e">
        <f>'1 нед'!#REF!</f>
        <v>#REF!</v>
      </c>
      <c r="G79" t="e">
        <f>'1 нед'!#REF!</f>
        <v>#REF!</v>
      </c>
    </row>
    <row r="80" spans="3:7" ht="12.75">
      <c r="C80" s="23">
        <f>C79+1</f>
        <v>39004</v>
      </c>
      <c r="D80" s="65">
        <f>TIMEVALUE(MID('1 нед'!B85,1,5))</f>
        <v>0.3819444444444444</v>
      </c>
      <c r="E80" s="65">
        <f>TIMEVALUE(MID('1 нед'!B85,7,11))</f>
        <v>0.4375</v>
      </c>
      <c r="F80" t="e">
        <f>'1 нед'!#REF!</f>
        <v>#REF!</v>
      </c>
      <c r="G80" t="e">
        <f>'1 нед'!#REF!</f>
        <v>#REF!</v>
      </c>
    </row>
    <row r="81" spans="3:7" ht="12.75">
      <c r="C81" s="23">
        <f>C80</f>
        <v>39004</v>
      </c>
      <c r="D81" s="65">
        <f>TIMEVALUE(MID('1 нед'!B87,1,5))</f>
        <v>0.4444444444444444</v>
      </c>
      <c r="E81" s="65">
        <f>TIMEVALUE(MID('1 нед'!B87,7,11))</f>
        <v>0.5</v>
      </c>
      <c r="F81" t="e">
        <f>'1 нед'!#REF!</f>
        <v>#REF!</v>
      </c>
      <c r="G81" t="e">
        <f>'1 нед'!#REF!</f>
        <v>#REF!</v>
      </c>
    </row>
    <row r="82" spans="3:7" ht="12.75">
      <c r="C82" s="23">
        <f>C80</f>
        <v>39004</v>
      </c>
      <c r="D82" s="65">
        <f>TIMEVALUE(MID('1 нед'!B89,1,5))</f>
        <v>0.5277777777777778</v>
      </c>
      <c r="E82" s="65">
        <f>TIMEVALUE(MID('1 нед'!B89,7,11))</f>
        <v>0.5833333333333334</v>
      </c>
      <c r="F82" t="e">
        <f>'1 нед'!#REF!</f>
        <v>#REF!</v>
      </c>
      <c r="G82" t="e">
        <f>'1 нед'!#REF!</f>
        <v>#REF!</v>
      </c>
    </row>
    <row r="83" spans="3:7" ht="12.75">
      <c r="C83" s="23">
        <f>C80</f>
        <v>39004</v>
      </c>
      <c r="D83" s="65">
        <f>TIMEVALUE(MID('1 нед'!B91,1,5))</f>
        <v>0.5902777777777778</v>
      </c>
      <c r="E83" s="65">
        <f>TIMEVALUE(MID('1 нед'!B91,7,11))</f>
        <v>0.6458333333333334</v>
      </c>
      <c r="F83" t="e">
        <f>'1 нед'!#REF!</f>
        <v>#REF!</v>
      </c>
      <c r="G83" t="e">
        <f>'1 нед'!#REF!</f>
        <v>#REF!</v>
      </c>
    </row>
    <row r="84" spans="3:7" ht="12.75">
      <c r="C84" s="23">
        <f>C83+1</f>
        <v>39005</v>
      </c>
      <c r="D84" s="65">
        <f>TIMEVALUE(MID('1 нед'!B97,1,5))</f>
        <v>0.3819444444444444</v>
      </c>
      <c r="E84" s="65">
        <f>TIMEVALUE(MID('1 нед'!B97,7,11))</f>
        <v>0.4375</v>
      </c>
      <c r="F84" t="e">
        <f>'1 нед'!#REF!</f>
        <v>#REF!</v>
      </c>
      <c r="G84" t="e">
        <f>'1 нед'!#REF!</f>
        <v>#REF!</v>
      </c>
    </row>
    <row r="85" spans="3:7" ht="12.75">
      <c r="C85" s="23">
        <f>C84</f>
        <v>39005</v>
      </c>
      <c r="D85" s="65">
        <f>TIMEVALUE(MID('1 нед'!B99,1,5))</f>
        <v>0.4444444444444444</v>
      </c>
      <c r="E85" s="65">
        <f>TIMEVALUE(MID('1 нед'!B99,7,11))</f>
        <v>0.5</v>
      </c>
      <c r="F85" t="e">
        <f>'1 нед'!#REF!</f>
        <v>#REF!</v>
      </c>
      <c r="G85" t="e">
        <f>'1 нед'!#REF!</f>
        <v>#REF!</v>
      </c>
    </row>
    <row r="86" spans="3:7" ht="12.75">
      <c r="C86" s="23">
        <f>C84</f>
        <v>39005</v>
      </c>
      <c r="D86" s="65">
        <f>TIMEVALUE(MID('1 нед'!B101,1,5))</f>
        <v>0.5208333333333334</v>
      </c>
      <c r="E86" s="65">
        <f>TIMEVALUE(MID('1 нед'!B101,7,11))</f>
        <v>0.576388888888889</v>
      </c>
      <c r="F86" t="e">
        <f>'1 нед'!#REF!</f>
        <v>#REF!</v>
      </c>
      <c r="G86" t="e">
        <f>'1 нед'!#REF!</f>
        <v>#REF!</v>
      </c>
    </row>
    <row r="87" spans="3:7" ht="12.75">
      <c r="C87" s="23">
        <f>C84</f>
        <v>39005</v>
      </c>
      <c r="D87" s="65">
        <f>TIMEVALUE(MID('1 нед'!B103,1,5))</f>
        <v>0.5833333333333334</v>
      </c>
      <c r="E87" s="65">
        <f>TIMEVALUE(MID('1 нед'!B103,7,11))</f>
        <v>0.638888888888889</v>
      </c>
      <c r="F87" t="e">
        <f>'1 нед'!#REF!</f>
        <v>#REF!</v>
      </c>
      <c r="G87" t="e">
        <f>'1 нед'!#REF!</f>
        <v>#REF!</v>
      </c>
    </row>
    <row r="88" spans="3:7" ht="12.75">
      <c r="C88" s="23">
        <f>C87+1</f>
        <v>39006</v>
      </c>
      <c r="D88" s="65" t="e">
        <f>TIMEVALUE(MID('1 нед'!#REF!,1,5))</f>
        <v>#REF!</v>
      </c>
      <c r="E88" s="65" t="e">
        <f>TIMEVALUE(MID('1 нед'!#REF!,7,11))</f>
        <v>#REF!</v>
      </c>
      <c r="F88">
        <f>'1 нед'!C6</f>
        <v>0</v>
      </c>
      <c r="G88" t="e">
        <f>'1 нед'!#REF!</f>
        <v>#REF!</v>
      </c>
    </row>
    <row r="89" spans="3:7" ht="12.75">
      <c r="C89" s="23">
        <f>C88</f>
        <v>39006</v>
      </c>
      <c r="D89" s="65" t="e">
        <f>TIMEVALUE(MID('1 нед'!#REF!,1,5))</f>
        <v>#REF!</v>
      </c>
      <c r="E89" s="65" t="e">
        <f>TIMEVALUE(MID('1 нед'!#REF!,7,11))</f>
        <v>#REF!</v>
      </c>
      <c r="F89" t="e">
        <f>'1 нед'!#REF!</f>
        <v>#REF!</v>
      </c>
      <c r="G89" t="e">
        <f>'1 нед'!#REF!</f>
        <v>#REF!</v>
      </c>
    </row>
    <row r="90" spans="3:7" ht="12.75">
      <c r="C90" s="23">
        <f>C88</f>
        <v>39006</v>
      </c>
      <c r="D90" s="65" t="e">
        <f>TIMEVALUE(MID('1 нед'!#REF!,1,5))</f>
        <v>#REF!</v>
      </c>
      <c r="E90" s="65" t="e">
        <f>TIMEVALUE(MID('1 нед'!#REF!,7,11))</f>
        <v>#REF!</v>
      </c>
      <c r="F90" t="e">
        <f>'1 нед'!#REF!</f>
        <v>#REF!</v>
      </c>
      <c r="G90" t="e">
        <f>'1 нед'!#REF!</f>
        <v>#REF!</v>
      </c>
    </row>
    <row r="91" spans="3:7" ht="12.75">
      <c r="C91" s="23">
        <f>C88</f>
        <v>39006</v>
      </c>
      <c r="D91" s="65">
        <f>TIMEVALUE(MID('1 нед'!B8,1,5))</f>
        <v>0.34027777777777773</v>
      </c>
      <c r="E91" s="65">
        <f>TIMEVALUE(MID('1 нед'!B8,7,11))</f>
        <v>0.3958333333333333</v>
      </c>
      <c r="F91" t="e">
        <f>'1 нед'!#REF!</f>
        <v>#REF!</v>
      </c>
      <c r="G91" t="e">
        <f>'1 нед'!#REF!</f>
        <v>#REF!</v>
      </c>
    </row>
    <row r="92" spans="3:7" ht="12.75">
      <c r="C92" s="23">
        <f>C88</f>
        <v>39006</v>
      </c>
      <c r="D92" s="65">
        <f>TIMEVALUE(MID('1 нед'!B10,1,5))</f>
        <v>0.40277777777777773</v>
      </c>
      <c r="E92" s="65">
        <f>TIMEVALUE(MID('1 нед'!B10,7,11))</f>
        <v>0.4583333333333333</v>
      </c>
      <c r="F92" t="e">
        <f>'1 нед'!#REF!</f>
        <v>#REF!</v>
      </c>
      <c r="G92" t="e">
        <f>'1 нед'!#REF!</f>
        <v>#REF!</v>
      </c>
    </row>
    <row r="93" spans="3:7" ht="12.75">
      <c r="C93" s="23">
        <f>C88</f>
        <v>39006</v>
      </c>
      <c r="D93" s="65">
        <f>TIMEVALUE(MID('1 нед'!B16,1,5))</f>
        <v>0.625</v>
      </c>
      <c r="E93" s="65">
        <f>TIMEVALUE(MID('1 нед'!B16,7,11))</f>
        <v>0.6805555555555555</v>
      </c>
      <c r="F93" t="e">
        <f>'1 нед'!#REF!</f>
        <v>#REF!</v>
      </c>
      <c r="G93" t="e">
        <f>'1 нед'!#REF!</f>
        <v>#REF!</v>
      </c>
    </row>
    <row r="94" spans="3:7" ht="12.75">
      <c r="C94" s="23">
        <f>C88</f>
        <v>39006</v>
      </c>
      <c r="D94" s="65">
        <f>TIMEVALUE(MID('1 нед'!B18,1,5))</f>
        <v>0.6944444444444445</v>
      </c>
      <c r="E94" s="65">
        <f>TIMEVALUE(MID('1 нед'!B18,7,11))</f>
        <v>0.75</v>
      </c>
      <c r="F94" t="e">
        <f>'1 нед'!#REF!</f>
        <v>#REF!</v>
      </c>
      <c r="G94" t="e">
        <f>'1 нед'!#REF!</f>
        <v>#REF!</v>
      </c>
    </row>
    <row r="95" spans="3:7" ht="12.75">
      <c r="C95" s="23">
        <f>C94+1</f>
        <v>39007</v>
      </c>
      <c r="D95" s="65">
        <f>TIMEVALUE(MID('1 нед'!B24,1,5))</f>
        <v>0.34027777777777773</v>
      </c>
      <c r="E95" s="65">
        <f>TIMEVALUE(MID('1 нед'!B24,7,11))</f>
        <v>0.3958333333333333</v>
      </c>
      <c r="F95" t="e">
        <f>'1 нед'!#REF!</f>
        <v>#REF!</v>
      </c>
      <c r="G95" t="e">
        <f>'1 нед'!#REF!</f>
        <v>#REF!</v>
      </c>
    </row>
    <row r="96" spans="3:7" ht="12.75">
      <c r="C96" s="23">
        <f>C95</f>
        <v>39007</v>
      </c>
      <c r="D96" s="65" t="e">
        <f>TIMEVALUE(MID('1 нед'!#REF!,1,5))</f>
        <v>#REF!</v>
      </c>
      <c r="E96" s="65" t="e">
        <f>TIMEVALUE(MID('1 нед'!#REF!,7,11))</f>
        <v>#REF!</v>
      </c>
      <c r="F96" t="e">
        <f>'1 нед'!#REF!</f>
        <v>#REF!</v>
      </c>
      <c r="G96" t="e">
        <f>'1 нед'!#REF!</f>
        <v>#REF!</v>
      </c>
    </row>
    <row r="97" spans="3:7" ht="12.75">
      <c r="C97" s="23">
        <f>C95</f>
        <v>39007</v>
      </c>
      <c r="D97" s="65" t="e">
        <f>TIMEVALUE(MID('1 нед'!#REF!,1,5))</f>
        <v>#REF!</v>
      </c>
      <c r="E97" s="65" t="e">
        <f>TIMEVALUE(MID('1 нед'!#REF!,7,11))</f>
        <v>#REF!</v>
      </c>
      <c r="F97" t="e">
        <f>'1 нед'!#REF!</f>
        <v>#REF!</v>
      </c>
      <c r="G97" t="e">
        <f>'1 нед'!#REF!</f>
        <v>#REF!</v>
      </c>
    </row>
    <row r="98" spans="3:7" ht="12.75">
      <c r="C98" s="23">
        <f>C95</f>
        <v>39007</v>
      </c>
      <c r="D98" s="65">
        <f>TIMEVALUE(MID('1 нед'!B26,1,5))</f>
        <v>0.40277777777777773</v>
      </c>
      <c r="E98" s="65">
        <f>TIMEVALUE(MID('1 нед'!B26,7,11))</f>
        <v>0.4583333333333333</v>
      </c>
      <c r="F98" t="e">
        <f>'1 нед'!#REF!</f>
        <v>#REF!</v>
      </c>
      <c r="G98" t="e">
        <f>'1 нед'!#REF!</f>
        <v>#REF!</v>
      </c>
    </row>
    <row r="99" spans="3:7" ht="12.75">
      <c r="C99" s="23">
        <f>C95</f>
        <v>39007</v>
      </c>
      <c r="D99" s="65">
        <f>TIMEVALUE(MID('1 нед'!B28,1,5))</f>
        <v>0.4791666666666667</v>
      </c>
      <c r="E99" s="65">
        <f>TIMEVALUE(MID('1 нед'!B28,7,11))</f>
        <v>0.5347222222222222</v>
      </c>
      <c r="F99" t="e">
        <f>'1 нед'!#REF!</f>
        <v>#REF!</v>
      </c>
      <c r="G99" t="e">
        <f>'1 нед'!#REF!</f>
        <v>#REF!</v>
      </c>
    </row>
    <row r="100" spans="3:7" ht="12.75">
      <c r="C100" s="23">
        <f>C95</f>
        <v>39007</v>
      </c>
      <c r="D100" s="65">
        <f>TIMEVALUE(MID('1 нед'!B30,1,5))</f>
        <v>0.548611111111111</v>
      </c>
      <c r="E100" s="65">
        <f>TIMEVALUE(MID('1 нед'!B30,7,11))</f>
        <v>0.6041666666666666</v>
      </c>
      <c r="F100" t="e">
        <f>'1 нед'!#REF!</f>
        <v>#REF!</v>
      </c>
      <c r="G100" t="e">
        <f>'1 нед'!#REF!</f>
        <v>#REF!</v>
      </c>
    </row>
    <row r="101" spans="3:7" ht="12.75">
      <c r="C101" s="23">
        <f>C95</f>
        <v>39007</v>
      </c>
      <c r="D101" s="65">
        <f>TIMEVALUE(MID('1 нед'!B32,1,5))</f>
        <v>0.625</v>
      </c>
      <c r="E101" s="65">
        <f>TIMEVALUE(MID('1 нед'!B32,7,11))</f>
        <v>0.6805555555555555</v>
      </c>
      <c r="F101" t="e">
        <f>'1 нед'!#REF!</f>
        <v>#REF!</v>
      </c>
      <c r="G101" t="e">
        <f>'1 нед'!#REF!</f>
        <v>#REF!</v>
      </c>
    </row>
    <row r="102" spans="3:7" ht="12.75">
      <c r="C102" s="23">
        <f>C101+1</f>
        <v>39008</v>
      </c>
      <c r="D102" s="65" t="e">
        <f>TIMEVALUE(MID('1 нед'!B37,1,5))</f>
        <v>#VALUE!</v>
      </c>
      <c r="E102" s="65" t="e">
        <f>TIMEVALUE(MID('1 нед'!B37,7,11))</f>
        <v>#VALUE!</v>
      </c>
      <c r="F102" t="e">
        <f>'1 нед'!#REF!</f>
        <v>#REF!</v>
      </c>
      <c r="G102" t="e">
        <f>'1 нед'!#REF!</f>
        <v>#REF!</v>
      </c>
    </row>
    <row r="103" spans="3:7" ht="12.75">
      <c r="C103" s="23">
        <f>C102</f>
        <v>39008</v>
      </c>
      <c r="D103" s="65" t="e">
        <f>TIMEVALUE(MID('1 нед'!B39,1,5))</f>
        <v>#VALUE!</v>
      </c>
      <c r="E103" s="65" t="e">
        <f>TIMEVALUE(MID('1 нед'!B39,7,11))</f>
        <v>#VALUE!</v>
      </c>
      <c r="F103" t="e">
        <f>'1 нед'!#REF!</f>
        <v>#REF!</v>
      </c>
      <c r="G103" t="e">
        <f>'1 нед'!#REF!</f>
        <v>#REF!</v>
      </c>
    </row>
    <row r="104" spans="3:7" ht="12.75">
      <c r="C104" s="23">
        <f>C102</f>
        <v>39008</v>
      </c>
      <c r="D104" s="65">
        <f>TIMEVALUE(MID('1 нед'!B41,1,5))</f>
        <v>0.40277777777777773</v>
      </c>
      <c r="E104" s="65">
        <f>TIMEVALUE(MID('1 нед'!B41,7,11))</f>
        <v>0.4583333333333333</v>
      </c>
      <c r="F104" t="e">
        <f>'1 нед'!#REF!</f>
        <v>#REF!</v>
      </c>
      <c r="G104" t="e">
        <f>'1 нед'!#REF!</f>
        <v>#REF!</v>
      </c>
    </row>
    <row r="105" spans="3:7" ht="12.75">
      <c r="C105" s="23">
        <f>C102</f>
        <v>39008</v>
      </c>
      <c r="D105" s="65">
        <f>TIMEVALUE(MID('1 нед'!B43,1,5))</f>
        <v>0.4791666666666667</v>
      </c>
      <c r="E105" s="65">
        <f>TIMEVALUE(MID('1 нед'!B43,7,11))</f>
        <v>0.5347222222222222</v>
      </c>
      <c r="F105" t="e">
        <f>'1 нед'!#REF!</f>
        <v>#REF!</v>
      </c>
      <c r="G105" t="e">
        <f>'1 нед'!#REF!</f>
        <v>#REF!</v>
      </c>
    </row>
    <row r="106" spans="3:7" ht="12.75">
      <c r="C106" s="23">
        <f>C102</f>
        <v>39008</v>
      </c>
      <c r="D106" s="65">
        <f>TIMEVALUE(MID('1 нед'!B45,1,5))</f>
        <v>0.548611111111111</v>
      </c>
      <c r="E106" s="65">
        <f>TIMEVALUE(MID('1 нед'!B45,7,11))</f>
        <v>0.6041666666666666</v>
      </c>
      <c r="F106" t="e">
        <f>'1 нед'!#REF!</f>
        <v>#REF!</v>
      </c>
      <c r="G106" t="e">
        <f>'1 нед'!#REF!</f>
        <v>#REF!</v>
      </c>
    </row>
    <row r="107" spans="3:7" ht="12.75">
      <c r="C107" s="23">
        <f>C102</f>
        <v>39008</v>
      </c>
      <c r="D107" s="65">
        <f>TIMEVALUE(MID('1 нед'!B47,1,5))</f>
        <v>0.625</v>
      </c>
      <c r="E107" s="65">
        <f>TIMEVALUE(MID('1 нед'!B47,7,11))</f>
        <v>0.6805555555555555</v>
      </c>
      <c r="F107" t="e">
        <f>'1 нед'!#REF!</f>
        <v>#REF!</v>
      </c>
      <c r="G107" t="e">
        <f>'1 нед'!#REF!</f>
        <v>#REF!</v>
      </c>
    </row>
    <row r="108" spans="3:7" ht="12.75">
      <c r="C108" s="23">
        <f>C102</f>
        <v>39008</v>
      </c>
      <c r="D108" s="65" t="e">
        <f>TIMEVALUE(MID('1 нед'!#REF!,1,5))</f>
        <v>#REF!</v>
      </c>
      <c r="E108" s="65" t="e">
        <f>TIMEVALUE(MID('1 нед'!#REF!,7,11))</f>
        <v>#REF!</v>
      </c>
      <c r="F108" t="e">
        <f>'1 нед'!#REF!</f>
        <v>#REF!</v>
      </c>
      <c r="G108" t="e">
        <f>'1 нед'!#REF!</f>
        <v>#REF!</v>
      </c>
    </row>
    <row r="109" spans="3:7" ht="12.75">
      <c r="C109" s="23">
        <f>C108+1</f>
        <v>39009</v>
      </c>
      <c r="D109" s="65">
        <f>TIMEVALUE(MID('1 нед'!B55,1,5))</f>
        <v>0.40277777777777773</v>
      </c>
      <c r="E109" s="65">
        <f>TIMEVALUE(MID('1 нед'!B55,7,11))</f>
        <v>0.4583333333333333</v>
      </c>
      <c r="F109" t="e">
        <f>'1 нед'!#REF!</f>
        <v>#REF!</v>
      </c>
      <c r="G109" t="e">
        <f>'1 нед'!#REF!</f>
        <v>#REF!</v>
      </c>
    </row>
    <row r="110" spans="3:7" ht="12.75">
      <c r="C110" s="23">
        <f>C109</f>
        <v>39009</v>
      </c>
      <c r="D110" s="65">
        <f>TIMEVALUE(MID('1 нед'!B57,1,5))</f>
        <v>0.4791666666666667</v>
      </c>
      <c r="E110" s="65">
        <f>TIMEVALUE(MID('1 нед'!B57,7,11))</f>
        <v>0.5347222222222222</v>
      </c>
      <c r="F110" t="e">
        <f>'1 нед'!#REF!</f>
        <v>#REF!</v>
      </c>
      <c r="G110" t="e">
        <f>'1 нед'!#REF!</f>
        <v>#REF!</v>
      </c>
    </row>
    <row r="111" spans="3:7" ht="12.75">
      <c r="C111" s="23">
        <f>C109</f>
        <v>39009</v>
      </c>
      <c r="D111" s="65">
        <f>TIMEVALUE(MID('1 нед'!B59,1,5))</f>
        <v>0.548611111111111</v>
      </c>
      <c r="E111" s="65">
        <f>TIMEVALUE(MID('1 нед'!B59,7,11))</f>
        <v>0.6041666666666666</v>
      </c>
      <c r="F111" t="e">
        <f>'1 нед'!#REF!</f>
        <v>#REF!</v>
      </c>
      <c r="G111" t="e">
        <f>'1 нед'!#REF!</f>
        <v>#REF!</v>
      </c>
    </row>
    <row r="112" spans="3:7" ht="12.75">
      <c r="C112" s="23">
        <f>C109</f>
        <v>39009</v>
      </c>
      <c r="D112" s="65">
        <f>TIMEVALUE(MID('1 нед'!B61,1,5))</f>
        <v>0.625</v>
      </c>
      <c r="E112" s="65">
        <f>TIMEVALUE(MID('1 нед'!B61,7,11))</f>
        <v>0.6805555555555555</v>
      </c>
      <c r="F112" t="e">
        <f>'1 нед'!#REF!</f>
        <v>#REF!</v>
      </c>
      <c r="G112" t="e">
        <f>'1 нед'!#REF!</f>
        <v>#REF!</v>
      </c>
    </row>
    <row r="113" spans="3:7" ht="12.75">
      <c r="C113" s="23">
        <f>C109</f>
        <v>39009</v>
      </c>
      <c r="D113" s="65">
        <f>TIMEVALUE(MID('1 нед'!B63,1,5))</f>
        <v>0.6944444444444445</v>
      </c>
      <c r="E113" s="65">
        <f>TIMEVALUE(MID('1 нед'!B63,7,11))</f>
        <v>0.75</v>
      </c>
      <c r="F113" t="e">
        <f>'1 нед'!#REF!</f>
        <v>#REF!</v>
      </c>
      <c r="G113" t="e">
        <f>'1 нед'!#REF!</f>
        <v>#REF!</v>
      </c>
    </row>
    <row r="114" spans="3:7" ht="12.75">
      <c r="C114" s="23">
        <f>C109</f>
        <v>39009</v>
      </c>
      <c r="D114" s="65">
        <f>TIMEVALUE(MID('1 нед'!B65,1,5))</f>
        <v>0.7638888888888888</v>
      </c>
      <c r="E114" s="65">
        <f>TIMEVALUE(MID('1 нед'!B65,7,11))</f>
        <v>0.8194444444444445</v>
      </c>
      <c r="F114" t="e">
        <f>'1 нед'!#REF!</f>
        <v>#REF!</v>
      </c>
      <c r="G114" t="e">
        <f>'1 нед'!#REF!</f>
        <v>#REF!</v>
      </c>
    </row>
    <row r="115" spans="3:7" ht="12.75">
      <c r="C115" s="23">
        <f>C109</f>
        <v>39009</v>
      </c>
      <c r="D115" s="65">
        <f>TIMEVALUE(MID('1 нед'!B67,1,5))</f>
        <v>0.8402777777777778</v>
      </c>
      <c r="E115" s="65">
        <f>TIMEVALUE(MID('1 нед'!B67,7,11))</f>
        <v>0.8958333333333334</v>
      </c>
      <c r="F115" t="e">
        <f>'1 нед'!#REF!</f>
        <v>#REF!</v>
      </c>
      <c r="G115" t="e">
        <f>'1 нед'!#REF!</f>
        <v>#REF!</v>
      </c>
    </row>
    <row r="116" spans="3:7" ht="12.75">
      <c r="C116" s="23">
        <f>C115+1</f>
        <v>39010</v>
      </c>
      <c r="D116" s="65">
        <f>TIMEVALUE(MID('1 нед'!B71,1,5))</f>
        <v>0.40277777777777773</v>
      </c>
      <c r="E116" s="65">
        <f>TIMEVALUE(MID('1 нед'!B71,7,11))</f>
        <v>0.4583333333333333</v>
      </c>
      <c r="F116" t="e">
        <f>'1 нед'!#REF!</f>
        <v>#REF!</v>
      </c>
      <c r="G116" t="e">
        <f>'1 нед'!#REF!</f>
        <v>#REF!</v>
      </c>
    </row>
    <row r="117" spans="3:7" ht="12.75">
      <c r="C117" s="23">
        <f>C116</f>
        <v>39010</v>
      </c>
      <c r="D117" s="65">
        <f>TIMEVALUE(MID('1 нед'!B73,1,5))</f>
        <v>0.4791666666666667</v>
      </c>
      <c r="E117" s="65">
        <f>TIMEVALUE(MID('1 нед'!B73,7,11))</f>
        <v>0.5347222222222222</v>
      </c>
      <c r="F117" t="e">
        <f>'1 нед'!#REF!</f>
        <v>#REF!</v>
      </c>
      <c r="G117" t="e">
        <f>'1 нед'!#REF!</f>
        <v>#REF!</v>
      </c>
    </row>
    <row r="118" spans="3:7" ht="12.75">
      <c r="C118" s="23">
        <f>C116</f>
        <v>39010</v>
      </c>
      <c r="D118" s="65">
        <f>TIMEVALUE(MID('1 нед'!B75,1,5))</f>
        <v>0.548611111111111</v>
      </c>
      <c r="E118" s="65">
        <f>TIMEVALUE(MID('1 нед'!B75,7,11))</f>
        <v>0.6041666666666666</v>
      </c>
      <c r="F118" t="e">
        <f>'1 нед'!#REF!</f>
        <v>#REF!</v>
      </c>
      <c r="G118" t="e">
        <f>'1 нед'!#REF!</f>
        <v>#REF!</v>
      </c>
    </row>
    <row r="119" spans="3:7" ht="12.75">
      <c r="C119" s="23">
        <f>C116</f>
        <v>39010</v>
      </c>
      <c r="D119" s="65">
        <f>TIMEVALUE(MID('1 нед'!B77,1,5))</f>
        <v>0.625</v>
      </c>
      <c r="E119" s="65">
        <f>TIMEVALUE(MID('1 нед'!B77,7,11))</f>
        <v>0.6805555555555555</v>
      </c>
      <c r="F119" t="e">
        <f>'1 нед'!#REF!</f>
        <v>#REF!</v>
      </c>
      <c r="G119" t="e">
        <f>'1 нед'!#REF!</f>
        <v>#REF!</v>
      </c>
    </row>
    <row r="120" spans="3:7" ht="12.75">
      <c r="C120" s="23">
        <f>C116</f>
        <v>39010</v>
      </c>
      <c r="D120" s="65">
        <f>TIMEVALUE(MID('1 нед'!B79,1,5))</f>
        <v>0.6944444444444445</v>
      </c>
      <c r="E120" s="65">
        <f>TIMEVALUE(MID('1 нед'!B79,7,11))</f>
        <v>0.75</v>
      </c>
      <c r="F120" t="e">
        <f>'1 нед'!#REF!</f>
        <v>#REF!</v>
      </c>
      <c r="G120" t="e">
        <f>'1 нед'!#REF!</f>
        <v>#REF!</v>
      </c>
    </row>
    <row r="121" spans="3:7" ht="12.75">
      <c r="C121" s="23">
        <f>C116</f>
        <v>39010</v>
      </c>
      <c r="D121" s="65">
        <f>TIMEVALUE(MID('1 нед'!B81,1,5))</f>
        <v>0.7638888888888888</v>
      </c>
      <c r="E121" s="65">
        <f>TIMEVALUE(MID('1 нед'!B81,7,11))</f>
        <v>0.8194444444444445</v>
      </c>
      <c r="F121" t="e">
        <f>'1 нед'!#REF!</f>
        <v>#REF!</v>
      </c>
      <c r="G121" t="e">
        <f>'1 нед'!#REF!</f>
        <v>#REF!</v>
      </c>
    </row>
    <row r="122" spans="3:7" ht="12.75">
      <c r="C122" s="23">
        <f>C116</f>
        <v>39010</v>
      </c>
      <c r="D122" s="65">
        <f>TIMEVALUE(MID('1 нед'!B83,1,5))</f>
        <v>0.8402777777777778</v>
      </c>
      <c r="E122" s="65">
        <f>TIMEVALUE(MID('1 нед'!B83,7,11))</f>
        <v>0.8958333333333334</v>
      </c>
      <c r="F122" t="e">
        <f>'1 нед'!#REF!</f>
        <v>#REF!</v>
      </c>
      <c r="G122" t="e">
        <f>'1 нед'!#REF!</f>
        <v>#REF!</v>
      </c>
    </row>
    <row r="123" spans="3:7" ht="12.75">
      <c r="C123" s="23">
        <f>C122+1</f>
        <v>39011</v>
      </c>
      <c r="D123" s="65">
        <f>TIMEVALUE(MID('1 нед'!B85,1,5))</f>
        <v>0.3819444444444444</v>
      </c>
      <c r="E123" s="65">
        <f>TIMEVALUE(MID('1 нед'!B85,7,11))</f>
        <v>0.4375</v>
      </c>
      <c r="F123" t="e">
        <f>'1 нед'!#REF!</f>
        <v>#REF!</v>
      </c>
      <c r="G123" t="e">
        <f>'1 нед'!#REF!</f>
        <v>#REF!</v>
      </c>
    </row>
    <row r="124" spans="3:7" ht="12.75">
      <c r="C124" s="23">
        <f>C123</f>
        <v>39011</v>
      </c>
      <c r="D124" s="65">
        <f>TIMEVALUE(MID('1 нед'!B87,1,5))</f>
        <v>0.4444444444444444</v>
      </c>
      <c r="E124" s="65">
        <f>TIMEVALUE(MID('1 нед'!B87,7,11))</f>
        <v>0.5</v>
      </c>
      <c r="F124" t="e">
        <f>'1 нед'!#REF!</f>
        <v>#REF!</v>
      </c>
      <c r="G124" t="e">
        <f>'1 нед'!#REF!</f>
        <v>#REF!</v>
      </c>
    </row>
    <row r="125" spans="3:7" ht="12.75">
      <c r="C125" s="23">
        <f>C123</f>
        <v>39011</v>
      </c>
      <c r="D125" s="65">
        <f>TIMEVALUE(MID('1 нед'!B89,1,5))</f>
        <v>0.5277777777777778</v>
      </c>
      <c r="E125" s="65">
        <f>TIMEVALUE(MID('1 нед'!B89,7,11))</f>
        <v>0.5833333333333334</v>
      </c>
      <c r="F125" t="e">
        <f>'1 нед'!#REF!</f>
        <v>#REF!</v>
      </c>
      <c r="G125" t="e">
        <f>'1 нед'!#REF!</f>
        <v>#REF!</v>
      </c>
    </row>
    <row r="126" spans="3:7" ht="12.75">
      <c r="C126" s="23">
        <f>C123</f>
        <v>39011</v>
      </c>
      <c r="D126" s="65">
        <f>TIMEVALUE(MID('1 нед'!B91,1,5))</f>
        <v>0.5902777777777778</v>
      </c>
      <c r="E126" s="65">
        <f>TIMEVALUE(MID('1 нед'!B91,7,11))</f>
        <v>0.6458333333333334</v>
      </c>
      <c r="F126" t="e">
        <f>'1 нед'!#REF!</f>
        <v>#REF!</v>
      </c>
      <c r="G126" t="e">
        <f>'1 нед'!#REF!</f>
        <v>#REF!</v>
      </c>
    </row>
    <row r="127" spans="3:7" ht="12.75">
      <c r="C127" s="23">
        <f>C126+1</f>
        <v>39012</v>
      </c>
      <c r="D127" s="65">
        <f>TIMEVALUE(MID('1 нед'!B97,1,5))</f>
        <v>0.3819444444444444</v>
      </c>
      <c r="E127" s="65">
        <f>TIMEVALUE(MID('1 нед'!B97,7,11))</f>
        <v>0.4375</v>
      </c>
      <c r="F127" t="e">
        <f>'1 нед'!#REF!</f>
        <v>#REF!</v>
      </c>
      <c r="G127" t="e">
        <f>'1 нед'!#REF!</f>
        <v>#REF!</v>
      </c>
    </row>
    <row r="128" spans="3:7" ht="12.75">
      <c r="C128" s="23">
        <f>C127</f>
        <v>39012</v>
      </c>
      <c r="D128" s="65">
        <f>TIMEVALUE(MID('1 нед'!B99,1,5))</f>
        <v>0.4444444444444444</v>
      </c>
      <c r="E128" s="65">
        <f>TIMEVALUE(MID('1 нед'!B99,7,11))</f>
        <v>0.5</v>
      </c>
      <c r="F128" t="e">
        <f>'1 нед'!#REF!</f>
        <v>#REF!</v>
      </c>
      <c r="G128" t="e">
        <f>'1 нед'!#REF!</f>
        <v>#REF!</v>
      </c>
    </row>
    <row r="129" spans="3:7" ht="12.75">
      <c r="C129" s="23">
        <f>C127</f>
        <v>39012</v>
      </c>
      <c r="D129" s="65">
        <f>TIMEVALUE(MID('1 нед'!B101,1,5))</f>
        <v>0.5208333333333334</v>
      </c>
      <c r="E129" s="65">
        <f>TIMEVALUE(MID('1 нед'!B101,7,11))</f>
        <v>0.576388888888889</v>
      </c>
      <c r="F129" t="e">
        <f>'1 нед'!#REF!</f>
        <v>#REF!</v>
      </c>
      <c r="G129" t="e">
        <f>'1 нед'!#REF!</f>
        <v>#REF!</v>
      </c>
    </row>
    <row r="130" spans="3:7" ht="12.75">
      <c r="C130" s="23">
        <f>C127</f>
        <v>39012</v>
      </c>
      <c r="D130" s="65">
        <f>TIMEVALUE(MID('1 нед'!B103,1,5))</f>
        <v>0.5833333333333334</v>
      </c>
      <c r="E130" s="65">
        <f>TIMEVALUE(MID('1 нед'!B103,7,11))</f>
        <v>0.638888888888889</v>
      </c>
      <c r="F130" t="e">
        <f>'1 нед'!#REF!</f>
        <v>#REF!</v>
      </c>
      <c r="G130" t="e">
        <f>'1 нед'!#REF!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PGN</cp:lastModifiedBy>
  <cp:lastPrinted>2020-12-15T18:30:22Z</cp:lastPrinted>
  <dcterms:created xsi:type="dcterms:W3CDTF">2004-11-08T15:09:50Z</dcterms:created>
  <dcterms:modified xsi:type="dcterms:W3CDTF">2021-09-13T13:28:29Z</dcterms:modified>
  <cp:category/>
  <cp:version/>
  <cp:contentType/>
  <cp:contentStatus/>
</cp:coreProperties>
</file>